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qNbWGiwn90fHE7dkiGHSMjVL1W5xZVDc6ULXTyEz0GxwU3Eka99hgrM0kKMxLbc1B+ljrFW5SDGldK+0jP1u2w==" workbookSaltValue="x7vCam4KtOdI5M9VPIAc8Q=="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D18" i="8"/>
  <c r="AC18" i="8"/>
  <c r="AB18" i="8"/>
  <c r="AA18" i="8"/>
  <c r="Z18" i="8"/>
  <c r="Y18" i="8"/>
  <c r="X18" i="8"/>
  <c r="W18" i="8"/>
  <c r="V18" i="8"/>
  <c r="U18" i="8"/>
  <c r="T18" i="8"/>
  <c r="S18" i="8"/>
  <c r="R18" i="8"/>
  <c r="AW18" i="21" s="1"/>
  <c r="Q18" i="8"/>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L13" i="8"/>
  <c r="K13" i="8"/>
  <c r="J13" i="8"/>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BF16" i="8" s="1"/>
  <c r="AZ16" i="8"/>
  <c r="AY16" i="8"/>
  <c r="BB15" i="8"/>
  <c r="BA15" i="8"/>
  <c r="BD15" i="8" s="1"/>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3" i="7"/>
  <c r="AV18" i="21"/>
  <c r="AR13" i="21"/>
  <c r="R13" i="12"/>
  <c r="P19" i="19"/>
  <c r="BE11" i="13"/>
  <c r="BD11" i="13"/>
  <c r="BM18" i="16"/>
  <c r="B13" i="7"/>
  <c r="EL19" i="8"/>
  <c r="AP12" i="11"/>
  <c r="EN19" i="8"/>
  <c r="BA13" i="16"/>
  <c r="J10" i="2"/>
  <c r="AP10" i="11"/>
  <c r="T10" i="21"/>
  <c r="ES19" i="8"/>
  <c r="BM19" i="8"/>
  <c r="AL13" i="16"/>
  <c r="S13" i="16"/>
  <c r="P13" i="16"/>
  <c r="AM13" i="20"/>
  <c r="Z13" i="17"/>
  <c r="M18" i="2"/>
  <c r="H13" i="12"/>
  <c r="T13" i="12"/>
  <c r="BD9" i="8"/>
  <c r="E13" i="17"/>
  <c r="T13" i="20"/>
  <c r="T13" i="16"/>
  <c r="AP13" i="16"/>
  <c r="BE16" i="13"/>
  <c r="F20" i="20"/>
  <c r="AE20" i="20"/>
  <c r="L20" i="20"/>
  <c r="AP20" i="20"/>
  <c r="AF20" i="20"/>
  <c r="O20" i="20"/>
  <c r="Q20" i="20"/>
  <c r="AG20" i="20"/>
  <c r="O16" i="11"/>
  <c r="AQ20" i="21"/>
  <c r="G18" i="14"/>
  <c r="Z20" i="20"/>
  <c r="AM20" i="20"/>
  <c r="AK20" i="20"/>
  <c r="AB20" i="20"/>
  <c r="E20" i="20"/>
  <c r="P20" i="20"/>
  <c r="W20" i="21"/>
  <c r="R20" i="20"/>
  <c r="O10" i="11"/>
  <c r="J20" i="20"/>
  <c r="M20" i="20"/>
  <c r="AH20" i="20"/>
  <c r="T20" i="21"/>
  <c r="I20" i="20"/>
  <c r="AJ20" i="20"/>
  <c r="W20" i="20"/>
  <c r="AO20" i="20"/>
  <c r="AU20" i="20"/>
  <c r="Y20" i="20"/>
  <c r="AV20" i="20"/>
  <c r="AQ20" i="20"/>
  <c r="BD17" i="8" l="1"/>
  <c r="H17" i="7" s="1"/>
  <c r="G18" i="12"/>
  <c r="L19" i="8"/>
  <c r="E18" i="12"/>
  <c r="C18" i="7"/>
  <c r="I19" i="8"/>
  <c r="AC10" i="11"/>
  <c r="Q19" i="8"/>
  <c r="F13" i="7"/>
  <c r="BA13" i="8"/>
  <c r="BG10" i="8"/>
  <c r="S19" i="8"/>
  <c r="AE19" i="8"/>
  <c r="C13" i="7"/>
  <c r="D10" i="6"/>
  <c r="AO9" i="11"/>
  <c r="BE12" i="8"/>
  <c r="C11" i="6"/>
  <c r="B17" i="6"/>
  <c r="G12" i="12"/>
  <c r="BE9" i="13"/>
  <c r="F12" i="21"/>
  <c r="F15" i="16"/>
  <c r="BL15" i="16" s="1"/>
  <c r="BF15" i="8"/>
  <c r="J15" i="7" s="1"/>
  <c r="AO17" i="11"/>
  <c r="AO15" i="11"/>
  <c r="AL16" i="11"/>
  <c r="BE12" i="21"/>
  <c r="BE13" i="21" s="1"/>
  <c r="BE19" i="21" s="1"/>
  <c r="BG16" i="13"/>
  <c r="BD16" i="13"/>
  <c r="BE15" i="13"/>
  <c r="AN12" i="11"/>
  <c r="BF11" i="8"/>
  <c r="BF9" i="8"/>
  <c r="BG9" i="8"/>
  <c r="K9" i="7" s="1"/>
  <c r="BG12" i="8"/>
  <c r="E9" i="6"/>
  <c r="K9" i="12" s="1"/>
  <c r="AL9" i="11"/>
  <c r="E11" i="6"/>
  <c r="AB13" i="21"/>
  <c r="AB21" i="21" s="1"/>
  <c r="R8" i="9"/>
  <c r="R17" i="14" s="1"/>
  <c r="X13" i="20"/>
  <c r="X16" i="20"/>
  <c r="X9" i="16"/>
  <c r="X19" i="16" s="1"/>
  <c r="R10" i="14"/>
  <c r="T9" i="11"/>
  <c r="AA17" i="16"/>
  <c r="S11" i="17"/>
  <c r="V12" i="16"/>
  <c r="AZ15" i="11"/>
  <c r="AZ18" i="11" s="1"/>
  <c r="X12" i="16"/>
  <c r="AO13" i="21"/>
  <c r="AF13" i="21"/>
  <c r="AF19" i="21" s="1"/>
  <c r="BB18" i="13"/>
  <c r="BB13" i="13"/>
  <c r="BC18" i="13"/>
  <c r="BD17" i="13"/>
  <c r="B11" i="6"/>
  <c r="I13" i="2"/>
  <c r="J13" i="2" s="1"/>
  <c r="B16" i="6"/>
  <c r="D18" i="12"/>
  <c r="BJ13" i="16"/>
  <c r="C19" i="3"/>
  <c r="BF12" i="8"/>
  <c r="AC11" i="11"/>
  <c r="AO11" i="11"/>
  <c r="H9" i="7"/>
  <c r="D17" i="2"/>
  <c r="AL11" i="11"/>
  <c r="AM16" i="11"/>
  <c r="C16" i="6"/>
  <c r="F9" i="2"/>
  <c r="AN11" i="11"/>
  <c r="BB19" i="19"/>
  <c r="BK19" i="13"/>
  <c r="AE19" i="13"/>
  <c r="AB19" i="13"/>
  <c r="BF15" i="13"/>
  <c r="BE17" i="13"/>
  <c r="ER19" i="13"/>
  <c r="AL19" i="16"/>
  <c r="H19" i="21"/>
  <c r="Z19" i="8"/>
  <c r="H12" i="2"/>
  <c r="AO10" i="17"/>
  <c r="C18" i="2"/>
  <c r="D18" i="2" s="1"/>
  <c r="L16" i="14"/>
  <c r="I15" i="3"/>
  <c r="G12" i="3"/>
  <c r="K10" i="7"/>
  <c r="AO16" i="17"/>
  <c r="E12" i="6"/>
  <c r="D12" i="6"/>
  <c r="J12" i="12" s="1"/>
  <c r="AL12" i="11"/>
  <c r="E15" i="6"/>
  <c r="H17" i="2"/>
  <c r="J17" i="7"/>
  <c r="C9" i="6"/>
  <c r="J12" i="2"/>
  <c r="Y19" i="19"/>
  <c r="V19" i="19"/>
  <c r="ER19" i="19"/>
  <c r="F15" i="17"/>
  <c r="AQ15" i="17" s="1"/>
  <c r="X19" i="13"/>
  <c r="BA18" i="13"/>
  <c r="AZ18" i="13"/>
  <c r="BG17" i="8"/>
  <c r="K17" i="7" s="1"/>
  <c r="AY18" i="8"/>
  <c r="BE9" i="8"/>
  <c r="I9" i="7" s="1"/>
  <c r="BD11" i="8"/>
  <c r="H11" i="7" s="1"/>
  <c r="BE11" i="8"/>
  <c r="I11" i="7" s="1"/>
  <c r="BD12" i="8"/>
  <c r="H12" i="7" s="1"/>
  <c r="BG15" i="8"/>
  <c r="K15" i="7" s="1"/>
  <c r="BE15" i="8"/>
  <c r="I15" i="7" s="1"/>
  <c r="O19" i="8"/>
  <c r="F17" i="11"/>
  <c r="AQ17" i="11" s="1"/>
  <c r="F11" i="11"/>
  <c r="Y9" i="11"/>
  <c r="R18" i="11"/>
  <c r="Y10" i="11"/>
  <c r="AC17" i="11"/>
  <c r="AQ10" i="11"/>
  <c r="AR18" i="11"/>
  <c r="B15" i="6"/>
  <c r="C17" i="6"/>
  <c r="AX21" i="11"/>
  <c r="I12" i="3"/>
  <c r="I10" i="3"/>
  <c r="BI17" i="16"/>
  <c r="J16" i="10"/>
  <c r="L16" i="10" s="1"/>
  <c r="H15" i="7"/>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C13" i="5"/>
  <c r="BG16" i="8"/>
  <c r="BD16" i="8"/>
  <c r="H16" i="7" s="1"/>
  <c r="F12" i="2"/>
  <c r="AO12" i="11"/>
  <c r="K10" i="12"/>
  <c r="L12" i="14"/>
  <c r="I12" i="7"/>
  <c r="C12" i="6"/>
  <c r="B12" i="6"/>
  <c r="L10" i="14"/>
  <c r="B10" i="6"/>
  <c r="I10" i="7"/>
  <c r="T18" i="12"/>
  <c r="AJ19" i="8"/>
  <c r="AL19" i="8"/>
  <c r="G17" i="3"/>
  <c r="G15" i="3"/>
  <c r="G13" i="2"/>
  <c r="K12" i="7"/>
  <c r="J12" i="7"/>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F11" i="12"/>
  <c r="AP15" i="11"/>
  <c r="AV13" i="11"/>
  <c r="AB18" i="11"/>
  <c r="I18" i="11"/>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J15" i="2"/>
  <c r="AE19" i="21"/>
  <c r="BE13" i="19"/>
  <c r="AP19" i="19"/>
  <c r="X19" i="19"/>
  <c r="AF19" i="19"/>
  <c r="AM19" i="19"/>
  <c r="BI19" i="19"/>
  <c r="AY19" i="19"/>
  <c r="AQ13" i="21"/>
  <c r="BC19" i="19"/>
  <c r="AL19" i="19"/>
  <c r="AR19" i="19"/>
  <c r="EL19" i="19"/>
  <c r="S19" i="19"/>
  <c r="AA19" i="19"/>
  <c r="AI19" i="19"/>
  <c r="BK19" i="19"/>
  <c r="CL19" i="19"/>
  <c r="AG13" i="21"/>
  <c r="Q19" i="19"/>
  <c r="AN19" i="19"/>
  <c r="AC19" i="17"/>
  <c r="AV13" i="17"/>
  <c r="F11" i="17"/>
  <c r="AQ11" i="17" s="1"/>
  <c r="AX20" i="20"/>
  <c r="T20" i="20"/>
  <c r="X20" i="20"/>
  <c r="U10" i="11"/>
  <c r="AI20" i="20"/>
  <c r="AL20" i="20"/>
  <c r="H20" i="20"/>
  <c r="AA20" i="20"/>
  <c r="U16" i="11"/>
  <c r="K20" i="20"/>
  <c r="U12" i="11"/>
  <c r="AN20" i="20"/>
  <c r="S20" i="20"/>
  <c r="N20" i="20"/>
  <c r="AD20" i="20"/>
  <c r="AZ20" i="20"/>
  <c r="G13" i="14"/>
  <c r="I15" i="12" l="1"/>
  <c r="I12" i="12"/>
  <c r="AB19" i="21"/>
  <c r="T15" i="11"/>
  <c r="R16" i="14"/>
  <c r="S10" i="14"/>
  <c r="V10" i="14" s="1"/>
  <c r="S10" i="17"/>
  <c r="U10" i="21"/>
  <c r="X10" i="17"/>
  <c r="K15" i="12"/>
  <c r="AP13" i="20"/>
  <c r="AM12" i="11"/>
  <c r="AO12" i="17"/>
  <c r="AM15" i="11"/>
  <c r="AO15" i="17"/>
  <c r="AM11" i="11"/>
  <c r="AM9" i="11"/>
  <c r="AZ17" i="11"/>
  <c r="AZ9" i="11"/>
  <c r="V10" i="16"/>
  <c r="V15" i="16"/>
  <c r="X12" i="17"/>
  <c r="S15" i="14"/>
  <c r="V15" i="14" s="1"/>
  <c r="AO17" i="17"/>
  <c r="R12" i="14"/>
  <c r="S17" i="14"/>
  <c r="V17" i="14" s="1"/>
  <c r="V15" i="20"/>
  <c r="V18" i="20" s="1"/>
  <c r="L11" i="2"/>
  <c r="V17" i="16"/>
  <c r="AA12" i="21"/>
  <c r="T17" i="20"/>
  <c r="AA15" i="16"/>
  <c r="X16" i="17"/>
  <c r="X12" i="21"/>
  <c r="AP16" i="20"/>
  <c r="BH9" i="16"/>
  <c r="V15" i="11"/>
  <c r="BJ17" i="11"/>
  <c r="BH15" i="11"/>
  <c r="BH15" i="16"/>
  <c r="Q17" i="20"/>
  <c r="Q18" i="20" s="1"/>
  <c r="V11" i="16"/>
  <c r="BF17" i="11"/>
  <c r="BF16" i="11"/>
  <c r="S17" i="16"/>
  <c r="BL12" i="11"/>
  <c r="V12" i="21"/>
  <c r="BK15" i="11"/>
  <c r="S9" i="17"/>
  <c r="V11" i="11"/>
  <c r="BI10" i="11"/>
  <c r="Q10" i="21"/>
  <c r="S16" i="14"/>
  <c r="V16" i="14" s="1"/>
  <c r="V9" i="11"/>
  <c r="BJ11" i="11"/>
  <c r="R10" i="21"/>
  <c r="BJ12" i="11"/>
  <c r="AP15" i="20"/>
  <c r="BG15" i="11"/>
  <c r="R17" i="20"/>
  <c r="R18" i="20" s="1"/>
  <c r="BK17" i="11"/>
  <c r="T17" i="16"/>
  <c r="T15" i="16"/>
  <c r="BU11" i="17"/>
  <c r="BV17" i="16"/>
  <c r="BU10" i="17"/>
  <c r="BV12" i="16"/>
  <c r="BW12" i="20"/>
  <c r="BV11" i="16"/>
  <c r="BW11" i="20"/>
  <c r="U10" i="17"/>
  <c r="BW10" i="20"/>
  <c r="BU16" i="17"/>
  <c r="BV9" i="16"/>
  <c r="S12" i="14"/>
  <c r="V12" i="14" s="1"/>
  <c r="V13" i="14" s="1"/>
  <c r="AZ12" i="11"/>
  <c r="S11" i="14"/>
  <c r="V11" i="14" s="1"/>
  <c r="T16" i="11"/>
  <c r="BG12" i="11"/>
  <c r="Q17" i="17"/>
  <c r="BH10" i="11"/>
  <c r="BI9" i="11"/>
  <c r="AQ10" i="21"/>
  <c r="T12" i="11"/>
  <c r="BJ10" i="11"/>
  <c r="BK16" i="11"/>
  <c r="BH11" i="11"/>
  <c r="BG16" i="11"/>
  <c r="T11" i="11"/>
  <c r="BH16" i="11"/>
  <c r="AQ12" i="21"/>
  <c r="BJ16" i="11"/>
  <c r="BL16" i="11"/>
  <c r="AA10" i="16"/>
  <c r="S15" i="17"/>
  <c r="S16" i="17"/>
  <c r="L12" i="2"/>
  <c r="L17" i="2"/>
  <c r="X15" i="16"/>
  <c r="X18" i="16" s="1"/>
  <c r="T17" i="11"/>
  <c r="BH11" i="16"/>
  <c r="BH17" i="16"/>
  <c r="BM16" i="11"/>
  <c r="BL17" i="11"/>
  <c r="BF10" i="11"/>
  <c r="BK11" i="11"/>
  <c r="AP10" i="21"/>
  <c r="BH9" i="11"/>
  <c r="BI15" i="11"/>
  <c r="X17" i="20"/>
  <c r="BG9" i="11"/>
  <c r="BH17" i="11"/>
  <c r="AP17" i="20"/>
  <c r="BW9" i="20"/>
  <c r="BV16" i="16"/>
  <c r="BV15" i="16"/>
  <c r="BU9" i="17"/>
  <c r="BU17" i="17"/>
  <c r="AA16" i="16"/>
  <c r="X15" i="17"/>
  <c r="X17" i="17"/>
  <c r="P15" i="17"/>
  <c r="BL15" i="11"/>
  <c r="R11" i="14"/>
  <c r="Q15" i="17"/>
  <c r="BF15" i="11"/>
  <c r="BF18" i="11" s="1"/>
  <c r="BM9" i="11"/>
  <c r="BK10" i="11"/>
  <c r="L15" i="2"/>
  <c r="X10" i="21"/>
  <c r="X19" i="21" s="1"/>
  <c r="AA11" i="16"/>
  <c r="V9" i="16"/>
  <c r="BF11" i="11"/>
  <c r="BL9" i="11"/>
  <c r="BG10" i="11"/>
  <c r="P17" i="17"/>
  <c r="BK12" i="11"/>
  <c r="BK9" i="11"/>
  <c r="X11" i="17"/>
  <c r="X9" i="17"/>
  <c r="BM12" i="11"/>
  <c r="S9" i="14"/>
  <c r="V9" i="14" s="1"/>
  <c r="BJ15" i="11"/>
  <c r="BI17" i="11"/>
  <c r="BL11" i="11"/>
  <c r="BM15" i="11"/>
  <c r="Q15" i="11" s="1"/>
  <c r="BU15" i="17"/>
  <c r="BW17" i="20"/>
  <c r="BW16" i="20"/>
  <c r="BW15" i="20"/>
  <c r="BV10" i="16"/>
  <c r="BU12" i="17"/>
  <c r="AZ16" i="11"/>
  <c r="AZ11" i="11"/>
  <c r="S15" i="16"/>
  <c r="BF12" i="11"/>
  <c r="Q12" i="11" s="1"/>
  <c r="BL10" i="11"/>
  <c r="BH10" i="16"/>
  <c r="BM17" i="11"/>
  <c r="S17" i="17"/>
  <c r="BH12" i="16"/>
  <c r="L10" i="2"/>
  <c r="L16" i="2"/>
  <c r="U9" i="17"/>
  <c r="U19" i="17" s="1"/>
  <c r="L9" i="2"/>
  <c r="AA9" i="16"/>
  <c r="V10" i="21"/>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AS13" i="11"/>
  <c r="AS18" i="11"/>
  <c r="E13" i="11"/>
  <c r="AH18" i="11"/>
  <c r="S13" i="11"/>
  <c r="T13" i="11" s="1"/>
  <c r="AI13" i="11"/>
  <c r="F18" i="11"/>
  <c r="AU13" i="11"/>
  <c r="AP17" i="11"/>
  <c r="AT13" i="11"/>
  <c r="AV18" i="11"/>
  <c r="R13" i="11"/>
  <c r="Z13" i="11"/>
  <c r="AD13" i="11"/>
  <c r="AF18" i="11"/>
  <c r="AF13"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Q16" i="11"/>
  <c r="Y13" i="11"/>
  <c r="AC16" i="11"/>
  <c r="K13" i="11"/>
  <c r="N18" i="11"/>
  <c r="P12" i="11"/>
  <c r="AZ10" i="11"/>
  <c r="AT18" i="11"/>
  <c r="M13" i="11"/>
  <c r="L13" i="11"/>
  <c r="AP16" i="11"/>
  <c r="Z18" i="11"/>
  <c r="AB13" i="11"/>
  <c r="AI21" i="11"/>
  <c r="AQ16" i="11"/>
  <c r="W18" i="11"/>
  <c r="Y16" i="11"/>
  <c r="X18" i="11"/>
  <c r="AC9" i="11"/>
  <c r="H13" i="11"/>
  <c r="E13" i="12" s="1"/>
  <c r="AC13" i="11"/>
  <c r="S18" i="11"/>
  <c r="H18" i="11"/>
  <c r="X13" i="11"/>
  <c r="AA18" i="11"/>
  <c r="AA19" i="11" s="1"/>
  <c r="M18" i="11"/>
  <c r="C16" i="14"/>
  <c r="K16" i="14" s="1"/>
  <c r="AV19" i="17"/>
  <c r="J16" i="7"/>
  <c r="J16" i="12"/>
  <c r="F18" i="3"/>
  <c r="G18" i="3" s="1"/>
  <c r="H13" i="3"/>
  <c r="E18" i="6"/>
  <c r="P15" i="11"/>
  <c r="K12" i="12"/>
  <c r="AJ18" i="11"/>
  <c r="D18" i="5"/>
  <c r="P17" i="11"/>
  <c r="F16" i="2"/>
  <c r="H16" i="2"/>
  <c r="J16" i="2"/>
  <c r="F13" i="3"/>
  <c r="E9" i="3"/>
  <c r="G9" i="3"/>
  <c r="AO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I18" i="16"/>
  <c r="D19" i="12"/>
  <c r="BF13" i="8"/>
  <c r="AY19" i="8"/>
  <c r="P9" i="11"/>
  <c r="D11" i="6"/>
  <c r="J11" i="12" s="1"/>
  <c r="E11" i="3"/>
  <c r="R15" i="14"/>
  <c r="BH16" i="16"/>
  <c r="AM17" i="11"/>
  <c r="BI16" i="1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R13" i="14"/>
  <c r="Y13" i="14"/>
  <c r="AA13" i="14"/>
  <c r="W13" i="14"/>
  <c r="P13" i="14"/>
  <c r="Q13" i="14"/>
  <c r="X13" i="14"/>
  <c r="AC13" i="14"/>
  <c r="AB13" i="14"/>
  <c r="V16" i="11"/>
  <c r="U18" i="11"/>
  <c r="AA18" i="14"/>
  <c r="V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N18" i="11" l="1"/>
  <c r="BV13" i="16"/>
  <c r="BU21" i="17"/>
  <c r="P16" i="11"/>
  <c r="S18" i="14"/>
  <c r="BI18" i="11"/>
  <c r="R19" i="20"/>
  <c r="BW21" i="20"/>
  <c r="BJ18" i="11"/>
  <c r="Q9" i="11"/>
  <c r="Q18" i="17"/>
  <c r="BL18" i="11"/>
  <c r="BV18" i="16"/>
  <c r="Q10" i="11"/>
  <c r="T18" i="16"/>
  <c r="T19" i="16" s="1"/>
  <c r="BK18" i="11"/>
  <c r="BH18" i="11"/>
  <c r="AZ13" i="11"/>
  <c r="AZ19" i="11"/>
  <c r="S18" i="16"/>
  <c r="S19" i="16" s="1"/>
  <c r="BH13" i="11"/>
  <c r="Q19" i="20"/>
  <c r="Q19" i="17"/>
  <c r="BK13" i="11"/>
  <c r="BK19" i="11" s="1"/>
  <c r="P18" i="17"/>
  <c r="P19" i="17" s="1"/>
  <c r="R13" i="21"/>
  <c r="R19" i="21" s="1"/>
  <c r="AN21" i="20"/>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N20" i="21"/>
  <c r="V20" i="17"/>
  <c r="AY20" i="21"/>
  <c r="AO20" i="16"/>
  <c r="AE20" i="16"/>
  <c r="AI20" i="11"/>
  <c r="AD20" i="17"/>
  <c r="AE20" i="11"/>
  <c r="AG20" i="21"/>
  <c r="AI20" i="16"/>
  <c r="AU20" i="21"/>
  <c r="N20" i="11"/>
  <c r="V20" i="16"/>
  <c r="BH20" i="16"/>
  <c r="AI20" i="17"/>
  <c r="AF20" i="16"/>
  <c r="AL20" i="16"/>
  <c r="R20" i="16"/>
  <c r="AH20" i="11"/>
  <c r="AM20" i="17"/>
  <c r="AP20" i="16"/>
  <c r="E20" i="11"/>
  <c r="AK20" i="11"/>
  <c r="O20" i="16"/>
  <c r="H20" i="16"/>
  <c r="AO20" i="21"/>
  <c r="AU20" i="11"/>
  <c r="AW20" i="17"/>
  <c r="Z20" i="16"/>
  <c r="AI20" i="21"/>
  <c r="Y20" i="11"/>
  <c r="AE20" i="21"/>
  <c r="BC20" i="21"/>
  <c r="BA20" i="16"/>
  <c r="E20" i="12"/>
  <c r="AB20" i="11"/>
  <c r="M20" i="17"/>
  <c r="BO20" i="16"/>
  <c r="S20" i="21"/>
  <c r="E20" i="17"/>
  <c r="Q20" i="16"/>
  <c r="Z20" i="17"/>
  <c r="AG20" i="11"/>
  <c r="AN20" i="17"/>
  <c r="AQ20" i="16"/>
  <c r="H20" i="11"/>
  <c r="BD20" i="21"/>
  <c r="V20" i="11"/>
  <c r="J20" i="12"/>
  <c r="AR20" i="16"/>
  <c r="N20" i="16"/>
  <c r="AA20" i="17"/>
  <c r="AB20" i="17"/>
  <c r="AJ20" i="21"/>
  <c r="AP20" i="21"/>
  <c r="AZ20" i="16"/>
  <c r="Q20" i="21"/>
  <c r="BF20" i="16"/>
  <c r="AS20" i="21"/>
  <c r="AH20" i="17"/>
  <c r="H20" i="12"/>
  <c r="AN20" i="16"/>
  <c r="BE20" i="21"/>
  <c r="K20" i="11"/>
  <c r="J20" i="17"/>
  <c r="AA20" i="21"/>
  <c r="K20" i="21"/>
  <c r="T20" i="11"/>
  <c r="K20" i="12"/>
  <c r="AO20" i="17"/>
  <c r="AR20" i="11"/>
  <c r="AA20" i="11"/>
  <c r="AH20" i="21"/>
  <c r="AH20" i="16"/>
  <c r="O12" i="11"/>
  <c r="BD19" i="8" l="1"/>
  <c r="AQ20" i="11"/>
  <c r="BL20" i="16"/>
  <c r="AQ20" i="17"/>
  <c r="AP20" i="11"/>
  <c r="AT20" i="2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<sst xmlns="http://schemas.openxmlformats.org/spreadsheetml/2006/main" count="2080" uniqueCount="913">
  <si>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</si>
  <si>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</si>
  <si>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</si>
  <si>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</si>
  <si>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</si>
  <si>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</si>
  <si>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</si>
  <si>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</si>
  <si>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</si>
  <si>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</si>
  <si>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</si>
  <si>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</si>
  <si>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</si>
  <si>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</si>
  <si>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</si>
  <si>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</si>
  <si>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</si>
  <si>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</si>
  <si>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</si>
  <si>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</si>
  <si>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</si>
  <si>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</si>
  <si>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</si>
  <si>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</si>
  <si>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</si>
  <si>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</si>
  <si>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</si>
  <si>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</si>
  <si>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</si>
  <si>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</si>
  <si>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</si>
  <si>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</si>
  <si>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</si>
  <si>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</si>
  <si>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</si>
  <si>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</si>
  <si>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</si>
  <si>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</si>
  <si>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</si>
  <si>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</si>
  <si>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</si>
  <si>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</si>
  <si>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</si>
  <si>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</si>
  <si>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</si>
  <si>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</si>
  <si>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</si>
  <si>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</si>
  <si>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</si>
  <si>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</si>
  <si>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</si>
  <si>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</si>
  <si>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</si>
  <si>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</si>
  <si>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</si>
  <si>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</si>
  <si>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</si>
  <si>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</si>
  <si>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</si>
  <si>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</si>
  <si>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</si>
  <si>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</si>
  <si>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</si>
  <si>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</si>
  <si>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</si>
  <si>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</si>
  <si>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</si>
  <si>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</si>
  <si>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</si>
  <si>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</si>
  <si>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</si>
  <si>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</si>
  <si>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</si>
  <si>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</si>
  <si>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</si>
  <si>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</si>
  <si>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</si>
  <si>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</si>
  <si>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</si>
  <si>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</si>
  <si>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</si>
  <si>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</si>
  <si>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</si>
  <si>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</si>
  <si>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</si>
  <si>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</si>
  <si>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</si>
  <si>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</si>
  <si>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</si>
  <si>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</si>
  <si>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</si>
  <si>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</si>
  <si>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</si>
  <si>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</si>
  <si>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</si>
  <si>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</si>
  <si>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</si>
  <si>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</si>
  <si>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</si>
  <si>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</si>
  <si>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</si>
  <si>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</si>
  <si>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</si>
  <si>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</si>
  <si>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</si>
  <si>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</si>
  <si>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</si>
  <si>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</si>
  <si>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</si>
  <si>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</si>
  <si>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</si>
  <si>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</si>
  <si>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</si>
  <si>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</si>
  <si>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</si>
  <si>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</si>
  <si>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</si>
  <si>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</si>
  <si>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</si>
  <si>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</si>
  <si>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</si>
  <si>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</si>
  <si>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</si>
  <si>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</si>
  <si>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</si>
  <si>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</si>
  <si>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</si>
  <si>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</si>
  <si>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</si>
  <si>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</si>
  <si>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</si>
  <si>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</si>
  <si>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</si>
  <si>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</si>
  <si>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</si>
  <si>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</si>
  <si>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</si>
  <si>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</si>
  <si>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</si>
  <si>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</si>
  <si>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</si>
  <si>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</si>
  <si>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</si>
  <si>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</si>
  <si>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</si>
  <si>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</si>
  <si>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</si>
  <si>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</si>
  <si>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</si>
  <si>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</si>
  <si>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</si>
  <si>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</si>
  <si>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</si>
  <si>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</si>
  <si>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</si>
  <si>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</si>
  <si>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</si>
  <si>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</si>
  <si>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</si>
  <si>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</si>
  <si>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</si>
  <si>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</si>
  <si>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</si>
  <si>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</si>
  <si>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</si>
  <si>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</si>
  <si>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</si>
  <si>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</si>
  <si>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</si>
  <si>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</si>
  <si>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</si>
  <si>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</si>
  <si>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</si>
  <si>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</si>
  <si>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</si>
  <si>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</si>
  <si>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</si>
  <si>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</si>
  <si>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</si>
  <si>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</si>
  <si>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</si>
  <si>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</si>
  <si>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</si>
  <si>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</si>
  <si>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</si>
  <si>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</si>
  <si>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</si>
  <si>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</si>
  <si>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</si>
  <si>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</si>
  <si>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</si>
  <si>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</si>
  <si>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</si>
  <si>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</si>
  <si>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</si>
  <si>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</si>
  <si>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</si>
  <si>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</si>
  <si>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</si>
  <si>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</si>
  <si>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</si>
  <si>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</si>
  <si>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</si>
  <si>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</si>
  <si>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</si>
  <si>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</si>
  <si>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</si>
  <si>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</si>
  <si>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</si>
  <si>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</si>
  <si>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</si>
  <si>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</si>
  <si>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</si>
  <si>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</si>
  <si>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</si>
  <si>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</si>
  <si>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</si>
  <si>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</si>
  <si>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</si>
  <si>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</si>
  <si>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</si>
  <si>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</si>
  <si>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</si>
  <si>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</si>
  <si>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</si>
  <si>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</si>
  <si>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</si>
  <si>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</si>
  <si>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</si>
  <si>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</si>
  <si>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</si>
  <si>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</si>
  <si>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</si>
  <si>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</si>
  <si>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</si>
  <si>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</si>
  <si>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</si>
  <si>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</si>
  <si>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</si>
  <si>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</si>
  <si>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</si>
  <si>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</si>
  <si>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</si>
  <si>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</si>
  <si>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</si>
  <si>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</si>
  <si>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</si>
  <si>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</si>
  <si>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</si>
  <si>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</si>
  <si>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</si>
  <si>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</si>
  <si>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</si>
  <si>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</si>
  <si>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</si>
  <si>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</si>
  <si>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</si>
  <si>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</si>
  <si>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</si>
  <si>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</si>
  <si>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</si>
  <si>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</si>
  <si>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</si>
  <si>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</si>
  <si>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</si>
  <si>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</si>
  <si>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</si>
  <si>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</si>
  <si>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</si>
  <si>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</si>
  <si>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</si>
  <si>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</si>
  <si>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</si>
  <si>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</si>
  <si>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</si>
  <si>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</si>
  <si>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</si>
  <si>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</si>
  <si>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</si>
  <si>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</si>
  <si>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</si>
  <si>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</si>
  <si>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</si>
  <si>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</si>
  <si>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</si>
  <si>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</si>
  <si>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</si>
  <si>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</si>
  <si>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</si>
  <si>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</si>
  <si>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</si>
  <si>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</si>
  <si>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</si>
  <si>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</si>
  <si>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</si>
  <si>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</si>
  <si>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</si>
  <si>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</si>
  <si>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</si>
  <si>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</si>
  <si>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</si>
  <si>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</si>
  <si>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</si>
  <si>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</si>
  <si>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</si>
  <si>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</si>
  <si>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</si>
  <si>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</si>
  <si>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</si>
  <si>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</si>
  <si>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</si>
  <si>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</si>
  <si>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</si>
  <si>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</si>
  <si>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</si>
  <si>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</si>
  <si>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</si>
  <si>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</si>
  <si>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</si>
  <si>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</si>
  <si>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</si>
  <si>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</si>
  <si>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</si>
  <si>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</si>
  <si>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</si>
  <si>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</si>
  <si>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</si>
  <si>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</si>
  <si>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</si>
  <si>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</si>
  <si>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</si>
  <si>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</si>
  <si>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</si>
  <si>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</si>
  <si>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</si>
  <si>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</si>
  <si>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</si>
  <si>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</si>
  <si>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</si>
  <si>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</si>
  <si>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</si>
  <si>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</si>
  <si>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</si>
  <si>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</si>
  <si>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</si>
  <si>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</si>
  <si>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</si>
  <si>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</si>
  <si>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</si>
  <si>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</si>
  <si>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</si>
  <si>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</si>
  <si>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</si>
  <si>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</si>
  <si>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</si>
  <si>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</si>
  <si>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</si>
  <si>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</si>
  <si>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</si>
  <si>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</si>
  <si>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</si>
  <si>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</si>
  <si>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</si>
  <si>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</si>
  <si>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</si>
  <si>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</si>
  <si>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</si>
  <si>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</si>
  <si>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</si>
  <si>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</si>
  <si>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</si>
  <si>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</si>
  <si>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</si>
  <si>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</si>
  <si>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</si>
  <si>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</si>
  <si>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</si>
  <si>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</si>
  <si>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</si>
  <si>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</si>
  <si>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</si>
  <si>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</si>
  <si>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</si>
  <si>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</si>
  <si>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</si>
  <si>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</si>
  <si>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</si>
  <si>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</si>
  <si>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</si>
  <si>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</si>
  <si>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</si>
  <si>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</si>
  <si>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</si>
  <si>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</si>
  <si>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</si>
  <si>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</si>
  <si>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</si>
  <si>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</si>
  <si>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</si>
  <si>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</si>
  <si>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</si>
  <si>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</si>
  <si>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</si>
  <si>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</si>
  <si>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</si>
  <si>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</si>
  <si>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</si>
  <si>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</si>
  <si>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</si>
  <si>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</si>
  <si>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</si>
  <si>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</si>
  <si>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</si>
  <si>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</si>
  <si>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</si>
  <si>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</si>
  <si>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</si>
  <si>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</si>
  <si>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</si>
  <si>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</si>
  <si>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</si>
  <si>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</si>
  <si>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</si>
  <si>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</si>
  <si>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</si>
  <si>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</si>
  <si>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</si>
  <si>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</si>
  <si>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</si>
  <si>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</si>
  <si>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</si>
  <si>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</si>
  <si>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</si>
  <si>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</si>
  <si>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</si>
  <si>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</si>
  <si>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</si>
  <si>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</si>
  <si>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</si>
  <si>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</si>
  <si>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</si>
  <si>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</si>
  <si>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</si>
  <si>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</si>
  <si>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</si>
  <si>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</si>
  <si>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</si>
  <si>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</si>
  <si>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</si>
  <si>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</si>
  <si>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</si>
  <si>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</si>
  <si>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</si>
  <si>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</si>
  <si>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</si>
  <si>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</si>
  <si>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</si>
  <si>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</si>
  <si>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</si>
  <si>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</si>
  <si>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</si>
  <si>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</si>
  <si>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</si>
  <si>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</si>
  <si>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</si>
  <si>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</si>
  <si>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</si>
  <si>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</si>
  <si>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</si>
  <si>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</si>
  <si>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</si>
  <si>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</si>
  <si>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</si>
  <si>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</si>
  <si>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</si>
  <si>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</si>
  <si>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</si>
  <si>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</si>
  <si>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</si>
  <si>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</si>
  <si>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</si>
  <si>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</si>
  <si>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</si>
  <si>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</si>
  <si>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</si>
  <si>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</si>
  <si>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</si>
  <si>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</si>
  <si>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</si>
  <si>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</si>
  <si>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</si>
  <si>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</si>
  <si>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</si>
  <si>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</si>
  <si>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</si>
  <si>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</si>
  <si>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</si>
  <si>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</si>
  <si>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</si>
  <si>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</si>
  <si>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</si>
  <si>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</si>
  <si>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</si>
  <si>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</si>
  <si>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</si>
  <si>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</si>
  <si>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</si>
  <si>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</si>
  <si>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</si>
  <si>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</si>
  <si>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</si>
  <si>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</si>
  <si>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</si>
  <si>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</si>
  <si>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</si>
  <si>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</si>
  <si>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</si>
  <si>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</si>
  <si>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</si>
  <si>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</si>
  <si>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</si>
  <si>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</si>
  <si>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</si>
  <si>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</si>
  <si>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</si>
  <si>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</si>
  <si>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</si>
  <si>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</si>
  <si>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</si>
  <si>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</si>
  <si>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</si>
  <si>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</si>
  <si>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</si>
  <si>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</si>
  <si>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</si>
  <si>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</si>
  <si>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</si>
  <si>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</si>
  <si>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</si>
  <si>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</si>
  <si>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</si>
  <si>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</si>
  <si>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</si>
  <si>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</si>
  <si>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</si>
  <si>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</si>
  <si>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</si>
  <si>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</si>
  <si>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</si>
  <si>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</si>
  <si>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</si>
  <si>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</si>
  <si>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</si>
  <si>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</si>
  <si>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</si>
  <si>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</si>
  <si>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</si>
  <si>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</si>
  <si>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</si>
  <si>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</si>
  <si>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</si>
  <si>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</si>
  <si>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</si>
  <si>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</si>
  <si>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</si>
  <si>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</si>
  <si>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</si>
  <si>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</si>
  <si>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</si>
  <si>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</si>
  <si>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</si>
  <si>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</si>
  <si>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</si>
  <si>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</si>
  <si>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</si>
  <si>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</si>
  <si>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</si>
  <si>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</si>
  <si>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</si>
  <si>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</si>
  <si>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</si>
  <si>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</si>
  <si>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</si>
  <si>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</si>
  <si>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</si>
  <si>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</si>
  <si>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</si>
  <si>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</si>
  <si>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</si>
  <si>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</si>
  <si>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</si>
  <si>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</si>
  <si>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</si>
  <si>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</si>
  <si>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</si>
  <si>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</si>
  <si>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</si>
  <si>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</si>
  <si>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</si>
  <si>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</si>
  <si>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</si>
  <si>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</si>
  <si>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</si>
  <si>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</si>
  <si>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</si>
  <si>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</si>
  <si>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</si>
  <si>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</si>
  <si>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</si>
  <si>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</si>
  <si>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</si>
  <si>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</si>
  <si>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</si>
  <si>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</si>
  <si>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</si>
  <si>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</si>
  <si>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</si>
  <si>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</si>
  <si>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</si>
  <si>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</si>
  <si>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</si>
  <si>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</si>
  <si>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</si>
  <si>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</si>
  <si>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</si>
  <si>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</si>
  <si>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</si>
  <si>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</si>
  <si>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</si>
  <si>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</si>
  <si>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</si>
  <si>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</si>
  <si>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</si>
  <si>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</si>
  <si>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</si>
  <si>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</si>
  <si>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</si>
  <si>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</si>
  <si>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</si>
  <si>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</si>
  <si>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</si>
  <si>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</si>
  <si>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</si>
  <si>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</si>
  <si>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</si>
  <si>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</si>
  <si>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</si>
  <si>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</si>
  <si>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</si>
  <si>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</si>
  <si>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</si>
  <si>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</si>
  <si>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</si>
  <si>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</si>
  <si>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</si>
  <si>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</si>
  <si>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</si>
  <si>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</si>
  <si>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</si>
  <si>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</si>
  <si>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</si>
  <si>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</si>
  <si>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</si>
  <si>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</si>
  <si>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</si>
  <si>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</si>
  <si>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</si>
  <si>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</si>
  <si>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</si>
  <si>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</si>
  <si>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</si>
  <si>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</si>
  <si>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</si>
  <si>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</si>
  <si>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</si>
  <si>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</si>
  <si>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</si>
  <si>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</si>
  <si>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</si>
  <si>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</si>
  <si>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</si>
  <si>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</si>
  <si>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</si>
  <si>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</si>
  <si>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</si>
  <si>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</si>
  <si>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</si>
  <si>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</si>
  <si>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</si>
  <si>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</si>
  <si>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</si>
  <si>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</si>
  <si>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</si>
  <si>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</si>
  <si>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</si>
  <si>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</si>
  <si>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</si>
  <si>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</si>
  <si>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</si>
  <si>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</si>
  <si>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</si>
  <si>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</si>
  <si>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</si>
  <si>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</si>
  <si>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</si>
  <si>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</si>
  <si>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</si>
  <si>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</si>
  <si>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</si>
  <si>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</si>
  <si>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</si>
  <si>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</si>
  <si>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</si>
  <si>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</si>
  <si>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</si>
  <si>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</si>
  <si>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</si>
  <si>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</si>
  <si>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</si>
  <si>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</si>
  <si>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</si>
  <si>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</si>
  <si>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</si>
  <si>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</si>
  <si>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</si>
  <si>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</si>
  <si>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</si>
  <si>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</si>
  <si>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</si>
  <si>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</si>
  <si>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</si>
  <si>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</si>
  <si>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</si>
  <si>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</si>
  <si>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</si>
  <si>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</si>
  <si>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</si>
  <si>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</si>
  <si>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</si>
  <si>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</si>
  <si>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</si>
  <si>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</si>
  <si>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</si>
  <si>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</si>
  <si>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</si>
  <si>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</si>
  <si>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</si>
  <si>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</si>
  <si>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</si>
  <si>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</si>
  <si>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</si>
  <si>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</si>
  <si>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</si>
  <si>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</si>
  <si>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</si>
  <si>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</si>
  <si>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</si>
  <si>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</si>
  <si>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</si>
  <si>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</si>
  <si>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</si>
  <si>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</si>
  <si>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</si>
  <si>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</si>
  <si>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</si>
  <si>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</si>
  <si>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</si>
  <si>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</si>
  <si>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</si>
  <si>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</si>
  <si>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</si>
  <si>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</si>
  <si>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</si>
  <si>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</si>
  <si>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</si>
  <si>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</si>
  <si>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</si>
  <si>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</si>
  <si>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</si>
  <si>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</si>
  <si>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</si>
  <si>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</si>
  <si>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</si>
  <si>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</si>
  <si>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</si>
  <si>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</si>
  <si>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</si>
  <si>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</si>
  <si>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</si>
  <si>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</si>
  <si>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</si>
  <si>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</si>
  <si>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</si>
  <si>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</si>
  <si>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</si>
  <si>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</si>
  <si>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</si>
  <si>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</si>
  <si>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</si>
  <si>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</si>
  <si>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</si>
  <si>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</si>
  <si>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</si>
  <si>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</si>
  <si>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</si>
  <si>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</si>
  <si>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</si>
  <si>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</si>
  <si>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</si>
  <si>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</si>
  <si>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</si>
  <si>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</si>
  <si>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</si>
  <si>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</si>
  <si>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</si>
  <si>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</si>
  <si>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</si>
  <si>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</si>
  <si>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</si>
  <si>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</si>
  <si>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</si>
  <si>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</si>
  <si>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</si>
  <si>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</si>
  <si>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</si>
  <si>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</si>
  <si>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</si>
  <si>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</si>
  <si>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</si>
  <si>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</si>
  <si>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</si>
  <si>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</si>
  <si>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</si>
  <si>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</si>
  <si>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</si>
  <si>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</si>
  <si>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</si>
  <si>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</si>
  <si>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</si>
  <si>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</si>
  <si>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</si>
  <si>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</si>
  <si>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</si>
  <si>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</si>
  <si>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</si>
  <si>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</si>
  <si>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</si>
  <si>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</si>
  <si>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</si>
  <si>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</si>
  <si>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</si>
  <si>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</si>
  <si>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</si>
  <si>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</si>
  <si>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</si>
  <si>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</si>
  <si>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</si>
  <si>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</si>
  <si>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</si>
  <si>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</si>
  <si>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</si>
  <si>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</si>
  <si>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</si>
  <si>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</si>
  <si>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</si>
  <si>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</si>
  <si>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</si>
  <si>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</si>
  <si>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</si>
  <si>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</si>
  <si>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</si>
  <si>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</si>
  <si>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</si>
  <si>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</si>
  <si>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</si>
  <si>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</si>
  <si>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</si>
  <si>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</si>
  <si>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</si>
  <si>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</si>
  <si>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</si>
  <si>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</si>
  <si>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</si>
  <si>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</si>
  <si>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</si>
  <si>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</si>
  <si>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</si>
  <si>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</si>
  <si>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</si>
  <si>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</si>
  <si>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</si>
  <si>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</si>
  <si>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</si>
  <si>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</si>
  <si>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</si>
  <si>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</si>
  <si>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</si>
  <si>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</si>
  <si>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</si>
  <si>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</si>
  <si>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</si>
  <si>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</si>
  <si>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</si>
  <si>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</si>
  <si>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</si>
  <si>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</si>
  <si>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</si>
  <si>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</si>
  <si>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COMUNIDAD VALENCIANA</t>
  </si>
  <si>
    <t>Provincias</t>
  </si>
  <si>
    <t>VALENCIA</t>
  </si>
  <si>
    <t>Resumenes por Partidos Judiciales</t>
  </si>
  <si>
    <t>GANDIA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</si>
</sst>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twV8keGABfshNn7mXq3AkkYiVKBB68PXak58dZ2qkloZra9E7LQFeXbs72f4RtzF58fbM8wRHTYdRooQavy8iA==" saltValue="5o7pCeVI5G414ONsvjVEl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COMUNIDAD VALENCIANA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6</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24.224719101123597</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91</v>
      </c>
      <c r="D10" s="229">
        <f>IF(ISNUMBER(Datos!I10),Datos!I10," - ")</f>
        <v>91</v>
      </c>
      <c r="E10" s="230">
        <f>IF(ISNUMBER(Datos!J10),Datos!J10," - ")</f>
        <v>22</v>
      </c>
      <c r="F10" s="230">
        <f>IF(ISNUMBER(Datos!K10),Datos!K10," - ")</f>
        <v>22</v>
      </c>
      <c r="G10" s="1189" t="str">
        <f>IF(Datos!E10&lt;&gt;"",Datos!E10,Datos!D10)</f>
        <v>37</v>
      </c>
      <c r="H10" s="231">
        <f>IF(ISNUMBER(Datos!L10),Datos!L10," - ")</f>
        <v>91</v>
      </c>
      <c r="I10" s="1199" t="str">
        <f>IF(ISNUMBER(Datos!AS10/Datos!BM10),Datos!AS10/Datos!BM10," - ")</f>
        <v xml:space="preserve"> - </v>
      </c>
      <c r="J10" s="1200">
        <f>IF(ISNUMBER(Datos!BY10/Datos!CN10),Datos!BY10/Datos!CN10," - ")</f>
        <v>0</v>
      </c>
      <c r="K10" s="234">
        <f t="shared" ref="K10:K12" si="1">IF(ISNUMBER((E10-F10)/C10),(E10-F10)/C10," - ")</f>
        <v>0</v>
      </c>
      <c r="L10" s="1201">
        <f>IF(ISNUMBER(NºAsuntos!I10/NºAsuntos!G10),(NºAsuntos!I10/NºAsuntos!G10)*11," - ")</f>
        <v>45.5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91</v>
      </c>
      <c r="D13" s="1206">
        <f>SUBTOTAL(9,D9:D12)</f>
        <v>91</v>
      </c>
      <c r="E13" s="1207">
        <f>SUBTOTAL(9,E9:E12)</f>
        <v>22</v>
      </c>
      <c r="F13" s="1208">
        <f>SUBTOTAL(9,F9:F12)</f>
        <v>22</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3</v>
      </c>
      <c r="B15" s="1254" t="str">
        <f>Datos!A15</f>
        <v xml:space="preserve">Jdos. Instrucción                               </v>
      </c>
      <c r="C15" s="229">
        <f t="shared" ref="C15:C17" si="2">IF(ISNUMBER(H15-E15+F15),H15-E15+F15," - ")</f>
        <v>1651</v>
      </c>
      <c r="D15" s="229">
        <f>IF(ISNUMBER(IF(D_I="SI",Datos!I15,Datos!I15+Datos!AC15)),IF(D_I="SI",Datos!I15,Datos!I15+Datos!AC15)," - ")</f>
        <v>1621</v>
      </c>
      <c r="E15" s="230">
        <f>IF(ISNUMBER(IF(D_I="SI",Datos!J15,Datos!J15+Datos!AD15)),IF(D_I="SI",Datos!J15,Datos!J15+Datos!AD15)," - ")</f>
        <v>2129</v>
      </c>
      <c r="F15" s="230">
        <f>IF(ISNUMBER(IF(D_I="SI",Datos!K15,Datos!K15+Datos!AE15)),IF(D_I="SI",Datos!K15,Datos!K15+Datos!AE15)," - ")</f>
        <v>1849</v>
      </c>
      <c r="G15" s="1189" t="str">
        <f>IF(Datos!E15&lt;&gt;"",Datos!E15,Datos!D15)</f>
        <v>03</v>
      </c>
      <c r="H15" s="231">
        <f>IF(ISNUMBER(IF(D_I="SI",Datos!L15,Datos!L15+Datos!AF15)),IF(D_I="SI",Datos!L15,Datos!L15+Datos!AF15)," - ")</f>
        <v>1931</v>
      </c>
      <c r="I15" s="1199" t="str">
        <f>IF(ISNUMBER(Datos!AS15/Datos!BM15),Datos!AS15/Datos!BM15," - ")</f>
        <v xml:space="preserve"> - </v>
      </c>
      <c r="J15" s="1200">
        <f>IF(ISNUMBER(Datos!BY15/Datos!CN15),Datos!BY15/Datos!CN15," - ")</f>
        <v>0</v>
      </c>
      <c r="K15" s="234">
        <f t="shared" ref="K15:K17" si="3">IF(ISNUMBER((E15-F15)/C15),(E15-F15)/C15," - ")</f>
        <v>0.16959418534221685</v>
      </c>
      <c r="L15" s="1201">
        <f>IF(ISNUMBER(NºAsuntos!I15/NºAsuntos!G15),(NºAsuntos!I15/NºAsuntos!G15)*11," - ")</f>
        <v>11.487831260140617</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t="str">
        <f t="shared" si="2"/>
        <v xml:space="preserve"> - </v>
      </c>
      <c r="D16" s="229" t="str">
        <f>IF(ISNUMBER(IF(D_I="SI",Datos!I16,Datos!I16+Datos!AC16)),IF(D_I="SI",Datos!I16,Datos!I16+Datos!AC16)," - ")</f>
        <v xml:space="preserve"> - </v>
      </c>
      <c r="E16" s="230" t="str">
        <f>IF(ISNUMBER(IF(D_I="SI",Datos!J16,Datos!J16+Datos!AD16)),IF(D_I="SI",Datos!J16,Datos!J16+Datos!AD16)," - ")</f>
        <v xml:space="preserve"> - </v>
      </c>
      <c r="F16" s="230" t="str">
        <f>IF(ISNUMBER(IF(D_I="SI",Datos!K16,Datos!K16+Datos!AE16)),IF(D_I="SI",Datos!K16,Datos!K16+Datos!AE16)," - ")</f>
        <v xml:space="preserve"> - </v>
      </c>
      <c r="G16" s="1189" t="str">
        <f>IF(Datos!E16&lt;&gt;"",Datos!E16,Datos!D16)</f>
        <v>04</v>
      </c>
      <c r="H16" s="231" t="str">
        <f>IF(ISNUMBER(IF(D_I="SI",Datos!L16,Datos!L16+Datos!AF16)),IF(D_I="SI",Datos!L16,Datos!L16+Datos!AF16)," - ")</f>
        <v xml:space="preserve"> - </v>
      </c>
      <c r="I16" s="1199" t="str">
        <f>IF(ISNUMBER(Datos!AS16/Datos!BM16),Datos!AS16/Datos!BM16," - ")</f>
        <v xml:space="preserve"> - </v>
      </c>
      <c r="J16" s="1200">
        <f>IF(ISNUMBER(Datos!BY16/Datos!CN16),Datos!BY16/Datos!CN16," - ")</f>
        <v>0</v>
      </c>
      <c r="K16" s="234" t="str">
        <f t="shared" si="3"/>
        <v xml:space="preserve"> - </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100</v>
      </c>
      <c r="D17" s="229">
        <f>IF(ISNUMBER(IF(D_I="SI",Datos!I17,Datos!I17+Datos!AC17)),IF(D_I="SI",Datos!I17,Datos!I17+Datos!AC17)," - ")</f>
        <v>100</v>
      </c>
      <c r="E17" s="230">
        <f>IF(ISNUMBER(IF(D_I="SI",Datos!J17,Datos!J17+Datos!AD17)),IF(D_I="SI",Datos!J17,Datos!J17+Datos!AD17)," - ")</f>
        <v>253</v>
      </c>
      <c r="F17" s="230">
        <f>IF(ISNUMBER(IF(D_I="SI",Datos!K17,Datos!K17+Datos!AE17)),IF(D_I="SI",Datos!K17,Datos!K17+Datos!AE17)," - ")</f>
        <v>248</v>
      </c>
      <c r="G17" s="1189" t="str">
        <f>IF(Datos!E17&lt;&gt;"",Datos!E17,Datos!D17)</f>
        <v>37</v>
      </c>
      <c r="H17" s="231">
        <f>IF(ISNUMBER(IF(D_I="SI",Datos!L17,Datos!L17+Datos!AF17)),IF(D_I="SI",Datos!L17,Datos!L17+Datos!AF17)," - ")</f>
        <v>105</v>
      </c>
      <c r="I17" s="1199" t="str">
        <f>IF(ISNUMBER(Datos!AS17/Datos!BM17),Datos!AS17/Datos!BM17," - ")</f>
        <v xml:space="preserve"> - </v>
      </c>
      <c r="J17" s="1200" t="str">
        <f>IF(ISNUMBER((Datos!BY17+Datos!BZ17)/Datos!CN17),(Datos!BY17+Datos!BZ17)/Datos!CN17," - ")</f>
        <v xml:space="preserve"> - </v>
      </c>
      <c r="K17" s="234">
        <f t="shared" si="3"/>
        <v>0.05</v>
      </c>
      <c r="L17" s="1201">
        <f>IF(ISNUMBER(NºAsuntos!I17/NºAsuntos!G17),(NºAsuntos!I17/NºAsuntos!G17)*11," - ")</f>
        <v>4.657258064516129</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1751</v>
      </c>
      <c r="D18" s="1206">
        <f>SUBTOTAL(9,D15:D17)</f>
        <v>1721</v>
      </c>
      <c r="E18" s="1207">
        <f>SUBTOTAL(9,E15:E17)</f>
        <v>2382</v>
      </c>
      <c r="F18" s="1207">
        <f>SUBTOTAL(9,F15:F17)</f>
        <v>2097</v>
      </c>
      <c r="G18" s="1209" t="str">
        <f ca="1">INDIRECT(CONCATENATE("G",ROW()-1))</f>
        <v>37</v>
      </c>
      <c r="H18" s="1210">
        <f ca="1">SUMIF(G$14:G17,G18,H$14:H17)</f>
        <v>105</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1842</v>
      </c>
      <c r="D19" s="1228">
        <f>SUBTOTAL(9,D9:D18)</f>
        <v>1812</v>
      </c>
      <c r="E19" s="1229">
        <f>SUBTOTAL(9,E9:E18)</f>
        <v>2404</v>
      </c>
      <c r="F19" s="1229">
        <f>SUBTOTAL(9,F9:F18)</f>
        <v>2119</v>
      </c>
      <c r="G19" s="1230"/>
      <c r="H19" s="1231">
        <f ca="1">SUMIF(B9:B18,"TOTAL",H9:H18)</f>
        <v>105</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bzDQ+O/9ubBD0KLfNanjpjEjoBytsBlLnDb1oPkmTvN7hjCWeI+7h9EQWX2PH/Ew1eMHsixYKltmXOAq1ZhFgA==" saltValue="yVYxoBG2uj4CoCEOSXzff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XegpIVML9w+KIbyJfxZq9LehwbK/8PmEdvQigvVqox33SXnZgJbCpRquZbyVKp6oA12cO13ubO2Lz0Bq9fhUJw==" saltValue="dcTQMN7sOK0RpGVCdqOzM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v>4297</v>
      </c>
      <c r="J9" s="185">
        <v>2123</v>
      </c>
      <c r="K9" s="185">
        <v>1955</v>
      </c>
      <c r="L9" s="185">
        <v>4465</v>
      </c>
      <c r="M9" s="185">
        <v>337</v>
      </c>
      <c r="N9" s="185">
        <v>773</v>
      </c>
      <c r="O9" s="185">
        <v>1370</v>
      </c>
      <c r="P9" s="185">
        <v>534</v>
      </c>
      <c r="Q9" s="185">
        <v>501</v>
      </c>
      <c r="R9" s="185">
        <v>8108</v>
      </c>
      <c r="S9" s="185">
        <v>3944</v>
      </c>
      <c r="T9" s="185">
        <v>1810</v>
      </c>
      <c r="U9" s="185">
        <v>1524</v>
      </c>
      <c r="V9" s="185">
        <v>4177</v>
      </c>
      <c r="W9" s="185">
        <v>301</v>
      </c>
      <c r="X9" s="192">
        <v>638</v>
      </c>
      <c r="Y9" s="195">
        <v>260</v>
      </c>
      <c r="Z9" s="185">
        <v>160</v>
      </c>
      <c r="AA9" s="185">
        <v>181</v>
      </c>
      <c r="AB9" s="185">
        <v>239</v>
      </c>
      <c r="AC9" s="185">
        <v>0</v>
      </c>
      <c r="AD9" s="185">
        <v>0</v>
      </c>
      <c r="AE9" s="185">
        <v>0</v>
      </c>
      <c r="AF9" s="192">
        <v>0</v>
      </c>
      <c r="AG9" s="195">
        <v>226</v>
      </c>
      <c r="AH9" s="185">
        <v>194</v>
      </c>
      <c r="AI9" s="185">
        <v>180</v>
      </c>
      <c r="AJ9" s="196">
        <v>240</v>
      </c>
      <c r="AK9" s="184">
        <v>0</v>
      </c>
      <c r="AL9" s="185">
        <v>0</v>
      </c>
      <c r="AM9" s="185">
        <v>0</v>
      </c>
      <c r="AN9" s="192">
        <v>0</v>
      </c>
      <c r="AO9" s="262">
        <v>6</v>
      </c>
      <c r="AP9" s="158">
        <v>6</v>
      </c>
      <c r="AQ9" s="158">
        <v>6</v>
      </c>
      <c r="AR9" s="197">
        <v>6</v>
      </c>
      <c r="AS9" s="347" t="s">
        <v>808</v>
      </c>
      <c r="AT9" s="199"/>
      <c r="AU9" s="198"/>
      <c r="AV9" s="199"/>
      <c r="AW9" s="198"/>
      <c r="AX9" s="199"/>
      <c r="AY9" s="124">
        <f>IF(ISNUMBER(IF(J_V="SI",S9,S9+AG9)),IF(J_V="SI",S9,S9+AG9)," - ")</f>
        <v>4170</v>
      </c>
      <c r="AZ9" s="124">
        <f>IF(ISNUMBER(IF(J_V="SI",T9,T9+AH9)),IF(J_V="SI",T9,T9+AH9)," - ")</f>
        <v>2004</v>
      </c>
      <c r="BA9" s="125">
        <f>IF(ISNUMBER(IF(J_V="SI",U9,U9+AI9)),IF(J_V="SI",U9,U9+AI9)," - ")</f>
        <v>1704</v>
      </c>
      <c r="BB9" s="125">
        <f>IF(ISNUMBER(IF(J_V="SI",V9,V9+AJ9)),IF(J_V="SI",V9,V9+AJ9)," - ")</f>
        <v>4417</v>
      </c>
      <c r="BC9" s="126">
        <f>IF(ISNUMBER(X9),X9," - ")</f>
        <v>638</v>
      </c>
      <c r="BD9" s="127">
        <f>IF(ISNUMBER(BA9/AZ9),BA9/AZ9," - ")</f>
        <v>0.85029940119760483</v>
      </c>
      <c r="BE9" s="128">
        <f>IF(ISNUMBER(BB9/BA9),BB9/BA9, " - ")</f>
        <v>2.592136150234742</v>
      </c>
      <c r="BF9" s="128">
        <f>IF(ISNUMBER(BC9/BA9),BC9/BA9, " - ")</f>
        <v>0.37441314553990612</v>
      </c>
      <c r="BG9" s="200">
        <f>IF(ISNUMBER((AY9+AZ9)/BA9),(AY9+AZ9)/BA9," - ")</f>
        <v>3.6232394366197185</v>
      </c>
      <c r="BH9" s="158">
        <v>6</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91</v>
      </c>
      <c r="J10" s="185">
        <v>22</v>
      </c>
      <c r="K10" s="185">
        <v>22</v>
      </c>
      <c r="L10" s="185">
        <v>91</v>
      </c>
      <c r="M10" s="185">
        <v>11</v>
      </c>
      <c r="N10" s="185">
        <v>8</v>
      </c>
      <c r="O10" s="185">
        <v>7</v>
      </c>
      <c r="P10" s="185">
        <v>7</v>
      </c>
      <c r="Q10" s="185">
        <v>4</v>
      </c>
      <c r="R10" s="185">
        <v>70</v>
      </c>
      <c r="S10" s="185">
        <v>46</v>
      </c>
      <c r="T10" s="185">
        <v>24</v>
      </c>
      <c r="U10" s="185">
        <v>16</v>
      </c>
      <c r="V10" s="185">
        <v>54</v>
      </c>
      <c r="W10" s="185">
        <v>6</v>
      </c>
      <c r="X10" s="192">
        <v>6</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1</v>
      </c>
      <c r="AQ10" s="158">
        <v>1</v>
      </c>
      <c r="AR10" s="159">
        <v>1</v>
      </c>
      <c r="AS10" s="348" t="s">
        <v>802</v>
      </c>
      <c r="AT10" s="196"/>
      <c r="AU10" s="204"/>
      <c r="AV10" s="196"/>
      <c r="AW10" s="204"/>
      <c r="AX10" s="196"/>
      <c r="AY10" s="129">
        <f t="shared" ref="AY10:BC10" si="0">IF(ISNUMBER(S10),S10," - ")</f>
        <v>46</v>
      </c>
      <c r="AZ10" s="130">
        <f t="shared" si="0"/>
        <v>24</v>
      </c>
      <c r="BA10" s="130">
        <f t="shared" si="0"/>
        <v>16</v>
      </c>
      <c r="BB10" s="130">
        <f t="shared" si="0"/>
        <v>54</v>
      </c>
      <c r="BC10" s="126">
        <f t="shared" si="0"/>
        <v>6</v>
      </c>
      <c r="BD10" s="127">
        <f>IF(ISNUMBER(BA10/AZ10),BA10/AZ10," - ")</f>
        <v>0.66666666666666663</v>
      </c>
      <c r="BE10" s="128">
        <f>IF(ISNUMBER(BB10/BA10),BB10/BA10, " - ")</f>
        <v>3.375</v>
      </c>
      <c r="BF10" s="128">
        <f>IF(ISNUMBER(BC10/BA10),BC10/BA10, " - ")</f>
        <v>0.375</v>
      </c>
      <c r="BG10" s="200">
        <f>IF(ISNUMBER((AY10+AZ10)/BA10),(AY10+AZ10)/BA10," - ")</f>
        <v>4.375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0</v>
      </c>
      <c r="J12" s="187">
        <v>0</v>
      </c>
      <c r="K12" s="187">
        <v>0</v>
      </c>
      <c r="L12" s="187">
        <v>0</v>
      </c>
      <c r="M12" s="187">
        <v>0</v>
      </c>
      <c r="N12" s="187">
        <v>0</v>
      </c>
      <c r="O12" s="185">
        <v>0</v>
      </c>
      <c r="P12" s="187">
        <v>0</v>
      </c>
      <c r="Q12" s="187">
        <v>3</v>
      </c>
      <c r="R12" s="187">
        <v>278</v>
      </c>
      <c r="S12" s="187">
        <v>2</v>
      </c>
      <c r="T12" s="187">
        <v>0</v>
      </c>
      <c r="U12" s="187">
        <v>1</v>
      </c>
      <c r="V12" s="187">
        <v>1</v>
      </c>
      <c r="W12" s="187">
        <v>0</v>
      </c>
      <c r="X12" s="193">
        <v>0</v>
      </c>
      <c r="Y12" s="195">
        <v>0</v>
      </c>
      <c r="Z12" s="185">
        <v>0</v>
      </c>
      <c r="AA12" s="185">
        <v>0</v>
      </c>
      <c r="AB12" s="185">
        <v>0</v>
      </c>
      <c r="AC12" s="187">
        <v>0</v>
      </c>
      <c r="AD12" s="187">
        <v>0</v>
      </c>
      <c r="AE12" s="187">
        <v>0</v>
      </c>
      <c r="AF12" s="193">
        <v>0</v>
      </c>
      <c r="AG12" s="206">
        <v>0</v>
      </c>
      <c r="AH12" s="187">
        <v>0</v>
      </c>
      <c r="AI12" s="187">
        <v>0</v>
      </c>
      <c r="AJ12" s="207">
        <v>0</v>
      </c>
      <c r="AK12" s="186">
        <v>0</v>
      </c>
      <c r="AL12" s="187">
        <v>0</v>
      </c>
      <c r="AM12" s="187">
        <v>0</v>
      </c>
      <c r="AN12" s="193">
        <v>0</v>
      </c>
      <c r="AO12" s="263">
        <v>0</v>
      </c>
      <c r="AP12" s="159">
        <v>0</v>
      </c>
      <c r="AQ12" s="159">
        <v>0</v>
      </c>
      <c r="AR12" s="158">
        <v>0</v>
      </c>
      <c r="AS12" s="349" t="s">
        <v>811</v>
      </c>
      <c r="AT12" s="207"/>
      <c r="AU12" s="206"/>
      <c r="AV12" s="207"/>
      <c r="AW12" s="206"/>
      <c r="AX12" s="207"/>
      <c r="AY12" s="127">
        <f t="shared" si="1"/>
        <v>2</v>
      </c>
      <c r="AZ12" s="128">
        <f t="shared" si="1"/>
        <v>0</v>
      </c>
      <c r="BA12" s="128">
        <f t="shared" si="1"/>
        <v>1</v>
      </c>
      <c r="BB12" s="128">
        <f t="shared" si="1"/>
        <v>1</v>
      </c>
      <c r="BC12" s="126">
        <f>IF(ISNUMBER(X12),X12," - ")</f>
        <v>0</v>
      </c>
      <c r="BD12" s="127" t="str">
        <f t="shared" si="2"/>
        <v xml:space="preserve"> - </v>
      </c>
      <c r="BE12" s="128">
        <f t="shared" si="3"/>
        <v>1</v>
      </c>
      <c r="BF12" s="128">
        <f t="shared" si="4"/>
        <v>0</v>
      </c>
      <c r="BG12" s="200">
        <f t="shared" si="5"/>
        <v>2</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4388</v>
      </c>
      <c r="J13" s="188">
        <f t="shared" si="6"/>
        <v>2145</v>
      </c>
      <c r="K13" s="188">
        <f t="shared" si="6"/>
        <v>1977</v>
      </c>
      <c r="L13" s="188">
        <f t="shared" si="6"/>
        <v>4556</v>
      </c>
      <c r="M13" s="188">
        <f t="shared" si="6"/>
        <v>348</v>
      </c>
      <c r="N13" s="188">
        <f t="shared" si="6"/>
        <v>781</v>
      </c>
      <c r="O13" s="188">
        <f t="shared" si="6"/>
        <v>1377</v>
      </c>
      <c r="P13" s="188">
        <f t="shared" si="6"/>
        <v>541</v>
      </c>
      <c r="Q13" s="188">
        <f t="shared" si="6"/>
        <v>508</v>
      </c>
      <c r="R13" s="188">
        <f t="shared" si="6"/>
        <v>8456</v>
      </c>
      <c r="S13" s="188">
        <f t="shared" si="6"/>
        <v>3992</v>
      </c>
      <c r="T13" s="188">
        <f t="shared" si="6"/>
        <v>1834</v>
      </c>
      <c r="U13" s="188">
        <f t="shared" si="6"/>
        <v>1541</v>
      </c>
      <c r="V13" s="188">
        <f t="shared" si="6"/>
        <v>4232</v>
      </c>
      <c r="W13" s="188">
        <f t="shared" si="6"/>
        <v>307</v>
      </c>
      <c r="X13" s="188">
        <f t="shared" si="6"/>
        <v>644</v>
      </c>
      <c r="Y13" s="188">
        <f t="shared" si="6"/>
        <v>260</v>
      </c>
      <c r="Z13" s="188">
        <f t="shared" si="6"/>
        <v>160</v>
      </c>
      <c r="AA13" s="188">
        <f t="shared" si="6"/>
        <v>181</v>
      </c>
      <c r="AB13" s="188">
        <f t="shared" si="6"/>
        <v>239</v>
      </c>
      <c r="AC13" s="188">
        <f t="shared" si="6"/>
        <v>0</v>
      </c>
      <c r="AD13" s="188">
        <f t="shared" si="6"/>
        <v>0</v>
      </c>
      <c r="AE13" s="188">
        <f t="shared" si="6"/>
        <v>0</v>
      </c>
      <c r="AF13" s="188">
        <f>SUBTOTAL(9,AF9:AF12)</f>
        <v>0</v>
      </c>
      <c r="AG13" s="188">
        <f t="shared" ref="AG13:AT13" si="7">SUBTOTAL(9,AG8:AG12)</f>
        <v>226</v>
      </c>
      <c r="AH13" s="188">
        <f t="shared" si="7"/>
        <v>194</v>
      </c>
      <c r="AI13" s="188">
        <f t="shared" si="7"/>
        <v>180</v>
      </c>
      <c r="AJ13" s="188">
        <f t="shared" si="7"/>
        <v>240</v>
      </c>
      <c r="AK13" s="188">
        <f t="shared" si="7"/>
        <v>0</v>
      </c>
      <c r="AL13" s="188">
        <f t="shared" si="7"/>
        <v>0</v>
      </c>
      <c r="AM13" s="188">
        <f t="shared" si="7"/>
        <v>0</v>
      </c>
      <c r="AN13" s="188">
        <f t="shared" si="7"/>
        <v>0</v>
      </c>
      <c r="AO13" s="188">
        <f t="shared" si="7"/>
        <v>7</v>
      </c>
      <c r="AP13" s="188">
        <f t="shared" si="7"/>
        <v>7</v>
      </c>
      <c r="AQ13" s="188">
        <f t="shared" si="7"/>
        <v>7</v>
      </c>
      <c r="AR13" s="188">
        <f t="shared" si="7"/>
        <v>7</v>
      </c>
      <c r="AS13" s="188">
        <f t="shared" si="7"/>
        <v>0</v>
      </c>
      <c r="AT13" s="188">
        <f t="shared" si="7"/>
        <v>0</v>
      </c>
      <c r="AU13" s="208"/>
      <c r="AV13" s="133"/>
      <c r="AW13" s="208"/>
      <c r="AX13" s="133"/>
      <c r="AY13" s="188">
        <f>SUBTOTAL(9,AY8:AY12)</f>
        <v>4218</v>
      </c>
      <c r="AZ13" s="188">
        <f>SUBTOTAL(9,AZ8:AZ12)</f>
        <v>2028</v>
      </c>
      <c r="BA13" s="188">
        <f>SUBTOTAL(9,BA8:BA12)</f>
        <v>1721</v>
      </c>
      <c r="BB13" s="188">
        <f>SUBTOTAL(9,BB8:BB12)</f>
        <v>4472</v>
      </c>
      <c r="BC13" s="188">
        <f>SUBTOTAL(9,BC8:BC12)</f>
        <v>644</v>
      </c>
      <c r="BD13" s="209">
        <f>IF(ISNUMBER(BA13/AZ13),BA13/AZ13," - ")</f>
        <v>0.84861932938856011</v>
      </c>
      <c r="BE13" s="210">
        <f>IF(ISNUMBER(BB13/BA13),BB13/BA13, " - ")</f>
        <v>2.5984892504357933</v>
      </c>
      <c r="BF13" s="210">
        <f>IF(ISNUMBER(BC13/BA13),BC13/BA13, " - ")</f>
        <v>0.37420104590354447</v>
      </c>
      <c r="BG13" s="211">
        <f>IF(ISNUMBER((AY13+AZ13)/BA13),(AY13+AZ13)/BA13," - ")</f>
        <v>3.6292852992446254</v>
      </c>
      <c r="BH13" s="144">
        <f>SUBTOTAL(9,BH8:BH12)</f>
        <v>7</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1621</v>
      </c>
      <c r="J15" s="187">
        <v>2129</v>
      </c>
      <c r="K15" s="187">
        <v>1849</v>
      </c>
      <c r="L15" s="187">
        <v>1931</v>
      </c>
      <c r="M15" s="187">
        <v>317</v>
      </c>
      <c r="N15" s="187">
        <v>1046</v>
      </c>
      <c r="O15" s="185">
        <v>71</v>
      </c>
      <c r="P15" s="187">
        <v>80</v>
      </c>
      <c r="Q15" s="187">
        <v>88</v>
      </c>
      <c r="R15" s="187">
        <v>339</v>
      </c>
      <c r="S15" s="187">
        <v>1148</v>
      </c>
      <c r="T15" s="187">
        <v>2072</v>
      </c>
      <c r="U15" s="187">
        <v>1862</v>
      </c>
      <c r="V15" s="187">
        <v>1412</v>
      </c>
      <c r="W15" s="187">
        <v>277</v>
      </c>
      <c r="X15" s="193">
        <v>1069</v>
      </c>
      <c r="Y15" s="206">
        <v>0</v>
      </c>
      <c r="Z15" s="187">
        <v>0</v>
      </c>
      <c r="AA15" s="187">
        <v>0</v>
      </c>
      <c r="AB15" s="187">
        <v>0</v>
      </c>
      <c r="AC15" s="187">
        <v>0</v>
      </c>
      <c r="AD15" s="187">
        <v>14</v>
      </c>
      <c r="AE15" s="187">
        <v>14</v>
      </c>
      <c r="AF15" s="193">
        <v>0</v>
      </c>
      <c r="AG15" s="206">
        <v>0</v>
      </c>
      <c r="AH15" s="187">
        <v>0</v>
      </c>
      <c r="AI15" s="187">
        <v>0</v>
      </c>
      <c r="AJ15" s="207">
        <v>0</v>
      </c>
      <c r="AK15" s="186">
        <v>0</v>
      </c>
      <c r="AL15" s="187">
        <v>31</v>
      </c>
      <c r="AM15" s="187">
        <v>31</v>
      </c>
      <c r="AN15" s="193">
        <v>0</v>
      </c>
      <c r="AO15" s="263">
        <v>3</v>
      </c>
      <c r="AP15" s="159">
        <v>3</v>
      </c>
      <c r="AQ15" s="159">
        <v>3</v>
      </c>
      <c r="AR15" s="159">
        <v>3</v>
      </c>
      <c r="AS15" s="349" t="s">
        <v>531</v>
      </c>
      <c r="AT15" s="207" t="s">
        <v>329</v>
      </c>
      <c r="AU15" s="206"/>
      <c r="AV15" s="207"/>
      <c r="AW15" s="206"/>
      <c r="AX15" s="207"/>
      <c r="AY15" s="129">
        <f t="shared" ref="AY15:BB16" si="9">IF(ISNUMBER(IF(D_I="SI",S15,S15+AK15)),IF(D_I="SI",S15,S15+AK15)," - ")</f>
        <v>1148</v>
      </c>
      <c r="AZ15" s="130">
        <f t="shared" si="9"/>
        <v>2072</v>
      </c>
      <c r="BA15" s="130">
        <f t="shared" si="9"/>
        <v>1862</v>
      </c>
      <c r="BB15" s="130">
        <f t="shared" si="9"/>
        <v>1412</v>
      </c>
      <c r="BC15" s="126">
        <f>IF(ISNUMBER(W15),W15," - ")</f>
        <v>277</v>
      </c>
      <c r="BD15" s="127">
        <f>IF(ISNUMBER(BA15/AZ15),BA15/AZ15," - ")</f>
        <v>0.89864864864864868</v>
      </c>
      <c r="BE15" s="128">
        <f>IF(ISNUMBER(BB15/BA15),BB15/BA15, " - ")</f>
        <v>0.75832438238453281</v>
      </c>
      <c r="BF15" s="128">
        <f>IF(ISNUMBER(BC15/BA15),BC15/BA15, " - ")</f>
        <v>0.14876476906552094</v>
      </c>
      <c r="BG15" s="200">
        <f t="shared" ref="BG15:BG16" si="10">IF(ISNUMBER((AY15+AZ15)/BA15),(AY15+AZ15)/BA15," - ")</f>
        <v>1.7293233082706767</v>
      </c>
      <c r="BH15" s="159">
        <v>3</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t="s">
        <v>492</v>
      </c>
      <c r="J16" s="187" t="s">
        <v>488</v>
      </c>
      <c r="K16" s="187" t="s">
        <v>489</v>
      </c>
      <c r="L16" s="187" t="s">
        <v>490</v>
      </c>
      <c r="M16" s="187" t="s">
        <v>495</v>
      </c>
      <c r="N16" s="187" t="s">
        <v>150</v>
      </c>
      <c r="O16" s="185" t="s">
        <v>228</v>
      </c>
      <c r="P16" s="187" t="s">
        <v>474</v>
      </c>
      <c r="Q16" s="187" t="s">
        <v>475</v>
      </c>
      <c r="R16" s="187" t="s">
        <v>476</v>
      </c>
      <c r="S16" s="187"/>
      <c r="T16" s="187"/>
      <c r="U16" s="187"/>
      <c r="V16" s="187"/>
      <c r="W16" s="187"/>
      <c r="X16" s="193"/>
      <c r="Y16" s="206"/>
      <c r="Z16" s="187"/>
      <c r="AA16" s="187"/>
      <c r="AB16" s="187"/>
      <c r="AC16" s="187" t="s">
        <v>44</v>
      </c>
      <c r="AD16" s="187" t="s">
        <v>48</v>
      </c>
      <c r="AE16" s="187" t="s">
        <v>49</v>
      </c>
      <c r="AF16" s="193" t="s">
        <v>50</v>
      </c>
      <c r="AG16" s="206"/>
      <c r="AH16" s="187"/>
      <c r="AI16" s="187"/>
      <c r="AJ16" s="207"/>
      <c r="AK16" s="186"/>
      <c r="AL16" s="187"/>
      <c r="AM16" s="187"/>
      <c r="AN16" s="193"/>
      <c r="AO16" s="263">
        <v>0</v>
      </c>
      <c r="AP16" s="159">
        <v>0</v>
      </c>
      <c r="AQ16" s="159">
        <v>0</v>
      </c>
      <c r="AR16" s="159">
        <v>0</v>
      </c>
      <c r="AS16" s="349" t="s">
        <v>491</v>
      </c>
      <c r="AT16" s="207"/>
      <c r="AU16" s="206"/>
      <c r="AV16" s="207"/>
      <c r="AW16" s="206"/>
      <c r="AX16" s="207"/>
      <c r="AY16" s="127" t="str">
        <f t="shared" si="9"/>
        <v xml:space="preserve"> - </v>
      </c>
      <c r="AZ16" s="128" t="str">
        <f t="shared" si="9"/>
        <v xml:space="preserve"> - </v>
      </c>
      <c r="BA16" s="128" t="str">
        <f t="shared" si="9"/>
        <v xml:space="preserve"> - </v>
      </c>
      <c r="BB16" s="128" t="str">
        <f t="shared" si="9"/>
        <v xml:space="preserve"> - </v>
      </c>
      <c r="BC16" s="126" t="str">
        <f>IF(ISNUMBER(W16),W16," - ")</f>
        <v xml:space="preserve"> - </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100</v>
      </c>
      <c r="J17" s="187">
        <v>253</v>
      </c>
      <c r="K17" s="187">
        <v>248</v>
      </c>
      <c r="L17" s="187">
        <v>105</v>
      </c>
      <c r="M17" s="187">
        <v>60</v>
      </c>
      <c r="N17" s="187">
        <v>165</v>
      </c>
      <c r="O17" s="187">
        <v>19</v>
      </c>
      <c r="P17" s="187">
        <v>14</v>
      </c>
      <c r="Q17" s="187">
        <v>18</v>
      </c>
      <c r="R17" s="187">
        <v>22</v>
      </c>
      <c r="S17" s="187">
        <v>98</v>
      </c>
      <c r="T17" s="187">
        <v>226</v>
      </c>
      <c r="U17" s="187">
        <v>225</v>
      </c>
      <c r="V17" s="187">
        <v>99</v>
      </c>
      <c r="W17" s="187">
        <v>74</v>
      </c>
      <c r="X17" s="193">
        <v>158</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1</v>
      </c>
      <c r="AQ17" s="158">
        <v>1</v>
      </c>
      <c r="AR17" s="159">
        <v>1</v>
      </c>
      <c r="AS17" s="348" t="s">
        <v>801</v>
      </c>
      <c r="AT17" s="213"/>
      <c r="AU17" s="204"/>
      <c r="AV17" s="213"/>
      <c r="AW17" s="204"/>
      <c r="AX17" s="213"/>
      <c r="AY17" s="129">
        <f t="shared" ref="AY17:BB17" si="14">IF(ISNUMBER(S17),S17," - ")</f>
        <v>98</v>
      </c>
      <c r="AZ17" s="130">
        <f t="shared" si="14"/>
        <v>226</v>
      </c>
      <c r="BA17" s="130">
        <f t="shared" si="14"/>
        <v>225</v>
      </c>
      <c r="BB17" s="130">
        <f t="shared" si="14"/>
        <v>99</v>
      </c>
      <c r="BC17" s="126">
        <f>IF(ISNUMBER(W17),W17," - ")</f>
        <v>74</v>
      </c>
      <c r="BD17" s="127">
        <f>IF(ISNUMBER(BA17/AZ17),BA17/AZ17," - ")</f>
        <v>0.99557522123893805</v>
      </c>
      <c r="BE17" s="128">
        <f>IF(ISNUMBER(BB17/BA17),BB17/BA17, " - ")</f>
        <v>0.44</v>
      </c>
      <c r="BF17" s="128">
        <f>IF(ISNUMBER(BC17/BA17),BC17/BA17, " - ")</f>
        <v>0.3288888888888889</v>
      </c>
      <c r="BG17" s="200">
        <f>IF(ISNUMBER((AY17+AZ17)/BA17),(AY17+AZ17)/BA17," - ")</f>
        <v>1.44</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1721</v>
      </c>
      <c r="J18" s="188">
        <f t="shared" si="15"/>
        <v>2382</v>
      </c>
      <c r="K18" s="188">
        <f t="shared" si="15"/>
        <v>2097</v>
      </c>
      <c r="L18" s="188">
        <f t="shared" si="15"/>
        <v>2036</v>
      </c>
      <c r="M18" s="188">
        <f t="shared" si="15"/>
        <v>377</v>
      </c>
      <c r="N18" s="188">
        <f t="shared" si="15"/>
        <v>1211</v>
      </c>
      <c r="O18" s="188">
        <f t="shared" si="15"/>
        <v>90</v>
      </c>
      <c r="P18" s="188">
        <f t="shared" si="15"/>
        <v>94</v>
      </c>
      <c r="Q18" s="188">
        <f t="shared" si="15"/>
        <v>106</v>
      </c>
      <c r="R18" s="188">
        <f t="shared" si="15"/>
        <v>361</v>
      </c>
      <c r="S18" s="188">
        <f t="shared" si="15"/>
        <v>1246</v>
      </c>
      <c r="T18" s="188">
        <f t="shared" si="15"/>
        <v>2298</v>
      </c>
      <c r="U18" s="188">
        <f t="shared" si="15"/>
        <v>2087</v>
      </c>
      <c r="V18" s="188">
        <f t="shared" si="15"/>
        <v>1511</v>
      </c>
      <c r="W18" s="188">
        <f t="shared" si="15"/>
        <v>351</v>
      </c>
      <c r="X18" s="188">
        <f t="shared" si="15"/>
        <v>1227</v>
      </c>
      <c r="Y18" s="188">
        <f t="shared" si="15"/>
        <v>0</v>
      </c>
      <c r="Z18" s="188">
        <f t="shared" si="15"/>
        <v>0</v>
      </c>
      <c r="AA18" s="188">
        <f t="shared" si="15"/>
        <v>0</v>
      </c>
      <c r="AB18" s="188">
        <f t="shared" si="15"/>
        <v>0</v>
      </c>
      <c r="AC18" s="188">
        <f t="shared" si="15"/>
        <v>0</v>
      </c>
      <c r="AD18" s="188">
        <f t="shared" si="15"/>
        <v>14</v>
      </c>
      <c r="AE18" s="188">
        <f t="shared" si="15"/>
        <v>14</v>
      </c>
      <c r="AF18" s="188">
        <f t="shared" si="15"/>
        <v>0</v>
      </c>
      <c r="AG18" s="188">
        <f t="shared" si="15"/>
        <v>0</v>
      </c>
      <c r="AH18" s="188">
        <f t="shared" si="15"/>
        <v>0</v>
      </c>
      <c r="AI18" s="188">
        <f t="shared" si="15"/>
        <v>0</v>
      </c>
      <c r="AJ18" s="188">
        <f t="shared" si="15"/>
        <v>0</v>
      </c>
      <c r="AK18" s="188">
        <f t="shared" si="15"/>
        <v>0</v>
      </c>
      <c r="AL18" s="188">
        <f t="shared" si="15"/>
        <v>31</v>
      </c>
      <c r="AM18" s="188">
        <f t="shared" si="15"/>
        <v>31</v>
      </c>
      <c r="AN18" s="188">
        <f t="shared" si="15"/>
        <v>0</v>
      </c>
      <c r="AO18" s="188">
        <f t="shared" si="15"/>
        <v>4</v>
      </c>
      <c r="AP18" s="188">
        <f t="shared" si="15"/>
        <v>4</v>
      </c>
      <c r="AQ18" s="188">
        <f t="shared" si="15"/>
        <v>4</v>
      </c>
      <c r="AR18" s="188">
        <f t="shared" si="15"/>
        <v>4</v>
      </c>
      <c r="AS18" s="188">
        <f t="shared" si="15"/>
        <v>0</v>
      </c>
      <c r="AT18" s="188">
        <f t="shared" si="15"/>
        <v>0</v>
      </c>
      <c r="AU18" s="208"/>
      <c r="AV18" s="133"/>
      <c r="AW18" s="208"/>
      <c r="AX18" s="133"/>
      <c r="AY18" s="188">
        <f>SUBTOTAL(9,AY14:AY17)</f>
        <v>1246</v>
      </c>
      <c r="AZ18" s="188">
        <f>SUBTOTAL(9,AZ14:AZ17)</f>
        <v>2298</v>
      </c>
      <c r="BA18" s="188">
        <f>SUBTOTAL(9,BA14:BA17)</f>
        <v>2087</v>
      </c>
      <c r="BB18" s="188">
        <f>SUBTOTAL(9,BB14:BB17)</f>
        <v>1511</v>
      </c>
      <c r="BC18" s="188">
        <f>SUBTOTAL(9,BC14:BC17)</f>
        <v>351</v>
      </c>
      <c r="BD18" s="209">
        <f>IF(ISNUMBER(BA18/AZ18),BA18/AZ18," - ")</f>
        <v>0.9081810269799826</v>
      </c>
      <c r="BE18" s="210">
        <f>IF(ISNUMBER(BB18/BA18),BB18/BA18, " - ")</f>
        <v>0.72400574988021082</v>
      </c>
      <c r="BF18" s="210">
        <f>IF(ISNUMBER(BC18/BA18),BC18/BA18, " - ")</f>
        <v>0.16818399616674654</v>
      </c>
      <c r="BG18" s="211">
        <f>IF(ISNUMBER((AY18+AZ18)/BA18),(AY18+AZ18)/BA18," - ")</f>
        <v>1.6981312889314806</v>
      </c>
      <c r="BH18" s="188">
        <f>SUBTOTAL(9,BH14:BH17)</f>
        <v>4</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6109</v>
      </c>
      <c r="J19" s="135">
        <f t="shared" si="18"/>
        <v>4527</v>
      </c>
      <c r="K19" s="135">
        <f t="shared" si="18"/>
        <v>4074</v>
      </c>
      <c r="L19" s="135">
        <f t="shared" si="18"/>
        <v>6592</v>
      </c>
      <c r="M19" s="135">
        <f t="shared" si="18"/>
        <v>725</v>
      </c>
      <c r="N19" s="135">
        <f t="shared" si="18"/>
        <v>1992</v>
      </c>
      <c r="O19" s="135">
        <f t="shared" si="18"/>
        <v>1467</v>
      </c>
      <c r="P19" s="135">
        <f t="shared" si="18"/>
        <v>635</v>
      </c>
      <c r="Q19" s="135">
        <f t="shared" si="18"/>
        <v>614</v>
      </c>
      <c r="R19" s="135">
        <f t="shared" si="18"/>
        <v>8817</v>
      </c>
      <c r="S19" s="135">
        <f t="shared" si="18"/>
        <v>5238</v>
      </c>
      <c r="T19" s="135">
        <f t="shared" si="18"/>
        <v>4132</v>
      </c>
      <c r="U19" s="135">
        <f t="shared" si="18"/>
        <v>3628</v>
      </c>
      <c r="V19" s="135">
        <f t="shared" si="18"/>
        <v>5743</v>
      </c>
      <c r="W19" s="135">
        <f t="shared" si="18"/>
        <v>658</v>
      </c>
      <c r="X19" s="135">
        <f t="shared" si="18"/>
        <v>1871</v>
      </c>
      <c r="Y19" s="135">
        <f t="shared" si="18"/>
        <v>260</v>
      </c>
      <c r="Z19" s="135">
        <f t="shared" si="18"/>
        <v>160</v>
      </c>
      <c r="AA19" s="135">
        <f t="shared" si="18"/>
        <v>181</v>
      </c>
      <c r="AB19" s="135">
        <f t="shared" si="18"/>
        <v>239</v>
      </c>
      <c r="AC19" s="135">
        <f t="shared" si="18"/>
        <v>0</v>
      </c>
      <c r="AD19" s="135">
        <f t="shared" si="18"/>
        <v>14</v>
      </c>
      <c r="AE19" s="135">
        <f t="shared" si="18"/>
        <v>14</v>
      </c>
      <c r="AF19" s="135">
        <f t="shared" si="18"/>
        <v>0</v>
      </c>
      <c r="AG19" s="135">
        <f t="shared" si="18"/>
        <v>226</v>
      </c>
      <c r="AH19" s="135">
        <f t="shared" si="18"/>
        <v>194</v>
      </c>
      <c r="AI19" s="135">
        <f t="shared" si="18"/>
        <v>180</v>
      </c>
      <c r="AJ19" s="135">
        <f t="shared" si="18"/>
        <v>240</v>
      </c>
      <c r="AK19" s="135">
        <f t="shared" si="18"/>
        <v>0</v>
      </c>
      <c r="AL19" s="135">
        <f t="shared" si="18"/>
        <v>31</v>
      </c>
      <c r="AM19" s="135">
        <f t="shared" si="18"/>
        <v>31</v>
      </c>
      <c r="AN19" s="214">
        <f t="shared" si="18"/>
        <v>0</v>
      </c>
      <c r="AO19" s="215">
        <v>10</v>
      </c>
      <c r="AP19" s="215">
        <v>10</v>
      </c>
      <c r="AQ19" s="215">
        <v>10</v>
      </c>
      <c r="AR19" s="215">
        <v>10</v>
      </c>
      <c r="AS19" s="157">
        <f t="shared" si="18"/>
        <v>0</v>
      </c>
      <c r="AT19" s="157">
        <f t="shared" si="18"/>
        <v>0</v>
      </c>
      <c r="AU19" s="215"/>
      <c r="AV19" s="216"/>
      <c r="AW19" s="215"/>
      <c r="AX19" s="216"/>
      <c r="AY19" s="134">
        <f>SUBTOTAL(9,AY9:AY18)</f>
        <v>5464</v>
      </c>
      <c r="AZ19" s="135">
        <f>SUBTOTAL(9,AZ9:AZ18)</f>
        <v>4326</v>
      </c>
      <c r="BA19" s="135">
        <f>SUBTOTAL(9,BA9:BA18)</f>
        <v>3808</v>
      </c>
      <c r="BB19" s="135">
        <f>SUBTOTAL(9,BB9:BB18)</f>
        <v>5983</v>
      </c>
      <c r="BC19" s="136">
        <f>SUBTOTAL(9,BC9:BC18)</f>
        <v>995</v>
      </c>
      <c r="BD19" s="217">
        <f>IF(ISNUMBER(BA19/AZ19),BA19/AZ19," - ")</f>
        <v>0.88025889967637538</v>
      </c>
      <c r="BE19" s="214">
        <f>IF(ISNUMBER(BB19/BA19),BB19/BA19, " - ")</f>
        <v>1.5711659663865547</v>
      </c>
      <c r="BF19" s="214">
        <f>IF(ISNUMBER(BC19/BA19),BC19/BA19, " - ")</f>
        <v>0.2612920168067227</v>
      </c>
      <c r="BG19" s="136">
        <f>IF(ISNUMBER((AY19+AZ19)/BA19),(AY19+AZ19)/BA19," - ")</f>
        <v>2.5709033613445378</v>
      </c>
      <c r="BH19" s="215">
        <f>SUBTOTAL(9,BH9:BH18)</f>
        <v>11</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To97arjAeP7pp6pNoEJ0JdLA+6yUfaypn9EUkBUt5tiSZ25bDafEFkofHn3YpmiqA58WiyqHAP/11B6UcV2v0g==" saltValue="MJR//vzhX8w6v6slbDWK9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o+myQF5EsMhG/Rzq+Ieo6kNKJuQUsctQhi+s3pP7QO3snh1l9AsSoO1y45fsuxME3AeZ7OnGD2EjJtnsauz04A==" saltValue="CPQIebeuCt/Z5b/av2cGY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COMUNIDAD VALENCIANA</v>
      </c>
      <c r="F1" s="531"/>
    </row>
    <row r="2" spans="1:74" ht="16.5" customHeight="1">
      <c r="C2" s="520" t="str">
        <f>Criterios!A10 &amp;"  "&amp;Criterios!B10 &amp; "  " &amp; IF(NOT(ISBLANK(Criterios!A11)),Criterios!A11 &amp;"  "&amp;Criterios!B11,"")</f>
        <v>Provincias  VALENCIA  Resumenes por Partidos Judiciales  GANDIA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6</v>
      </c>
      <c r="B9" s="652" t="s">
        <v>249</v>
      </c>
      <c r="C9" s="670" t="str">
        <f>Datos!A9</f>
        <v xml:space="preserve">Jdos. 1ª Instancia   </v>
      </c>
      <c r="D9" s="543"/>
      <c r="E9" s="669">
        <f>IF(ISNUMBER(Datos!AQ9),Datos!AQ9," - ")</f>
        <v>6</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160</v>
      </c>
      <c r="O9" s="503"/>
      <c r="P9" s="503"/>
      <c r="Q9" s="501">
        <f>IF(ISNUMBER(Datos!P9),Datos!P9,0)</f>
        <v>534</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501</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239</v>
      </c>
      <c r="AI9" s="503" t="str">
        <f>IF(ISNUMBER(Datos!CD9),Datos!CD9,"-")</f>
        <v>-</v>
      </c>
      <c r="AJ9" s="503" t="str">
        <f>IF(ISNUMBER(Datos!EN9),Datos!EN9," - ")</f>
        <v xml:space="preserve"> - </v>
      </c>
      <c r="AK9" s="503"/>
      <c r="AL9" s="504"/>
      <c r="AM9" s="671">
        <f>IF(ISNUMBER(Datos!R9),Datos!R9," - ")</f>
        <v>8108</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337</v>
      </c>
      <c r="BD9" s="619">
        <f>IF(ISNUMBER(Datos!N9),Datos!N9," - ")</f>
        <v>773</v>
      </c>
      <c r="BE9" s="619" t="str">
        <f>IF(ISNUMBER(Datos!BW9),Datos!BW9," - ")</f>
        <v xml:space="preserve"> - </v>
      </c>
      <c r="BF9" s="667" t="str">
        <f>IF(ISNUMBER(Datos!BX9),Datos!BX9," - ")</f>
        <v xml:space="preserve"> - </v>
      </c>
      <c r="BG9" s="668">
        <f>IF(ISNUMBER(IF(J_V="SI",Datos!K9/Datos!J9,(Datos!K9+Datos!AA9)/(Datos!J9+Datos!Z9))),IF(J_V="SI",Datos!K9/Datos!J9,(Datos!K9+Datos!AA9)/(Datos!J9+Datos!Z9))," - ")</f>
        <v>0.93561103810775292</v>
      </c>
      <c r="BH9" s="669">
        <f>IF(ISNUMBER(((IF(J_V="SI",Datos!L9/Datos!K9,(Datos!L9+Datos!AB9)/(Datos!K9+Datos!AA9)))*11)/factor_trimestre),((IF(J_V="SI",Datos!L9/Datos!K9,(Datos!L9+Datos!AB9)/(Datos!K9+Datos!AA9)))*11)/factor_trimestre," - ")</f>
        <v>4.404494382022472</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4.0866873065015484E-3</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1</v>
      </c>
      <c r="F10" s="506">
        <f>IF(ISNUMBER(Datos!L10+Datos!K10-Datos!J10),Datos!L10+Datos!K10-Datos!J10," - ")</f>
        <v>91</v>
      </c>
      <c r="G10" s="497">
        <f>IF(ISNUMBER(Datos!I10),Datos!I10," - ")</f>
        <v>91</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7</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22</v>
      </c>
      <c r="AC10" s="501">
        <f>IF(ISNUMBER(Datos!Q10),Datos!Q10," - ")</f>
        <v>4</v>
      </c>
      <c r="AD10" s="503"/>
      <c r="AE10" s="516"/>
      <c r="AF10" s="505">
        <f>IF(ISNUMBER(Datos!L10),Datos!L10,"-")</f>
        <v>91</v>
      </c>
      <c r="AG10" s="503"/>
      <c r="AH10" s="503"/>
      <c r="AI10" s="503"/>
      <c r="AJ10" s="503"/>
      <c r="AK10" s="503"/>
      <c r="AL10" s="504"/>
      <c r="AM10" s="671">
        <f>IF(ISNUMBER(Datos!R10),Datos!R10," - ")</f>
        <v>70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11</v>
      </c>
      <c r="BD10" s="619">
        <f>IF(ISNUMBER(Datos!N10),Datos!N10," - ")</f>
        <v>8</v>
      </c>
      <c r="BE10" s="619" t="str">
        <f>IF(ISNUMBER(Datos!BW10),Datos!BW10," - ")</f>
        <v xml:space="preserve"> - </v>
      </c>
      <c r="BF10" s="667" t="str">
        <f>IF(ISNUMBER(Datos!BX10),Datos!BX10," - ")</f>
        <v xml:space="preserve"> - </v>
      </c>
      <c r="BG10" s="668">
        <f>IF(ISNUMBER(Datos!K10/Datos!J10),Datos!K10/Datos!J10," - ")</f>
        <v>1</v>
      </c>
      <c r="BH10" s="669">
        <f>IF(ISNUMBER(((Datos!L10/Datos!K10)*11)/factor_trimestre),((Datos!L10/Datos!K10)*11)/factor_trimestre," - ")</f>
        <v>8.2727272727272734</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4.4776119402985072E-2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0</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3</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0</v>
      </c>
      <c r="AI12" s="503" t="str">
        <f>IF(ISNUMBER(Datos!CD12),Datos!CD12,"-")</f>
        <v>-</v>
      </c>
      <c r="AJ12" s="503" t="str">
        <f>IF(ISNUMBER(Datos!EN12),Datos!EN12," - ")</f>
        <v xml:space="preserve"> - </v>
      </c>
      <c r="AK12" s="503"/>
      <c r="AL12" s="504"/>
      <c r="AM12" s="671">
        <f>IF(ISNUMBER(Datos!R12),Datos!R12," - ")</f>
        <v>278</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0</v>
      </c>
      <c r="BD12" s="619">
        <f>IF(ISNUMBER(Datos!N12),Datos!N12," - ")</f>
        <v>0</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-1.0676156583629894E-2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7</v>
      </c>
      <c r="F13" s="1044">
        <f t="shared" si="0"/>
        <v>91</v>
      </c>
      <c r="G13" s="1044">
        <f t="shared" si="0"/>
        <v>91</v>
      </c>
      <c r="H13" s="1045">
        <f t="shared" si="0"/>
        <v>0</v>
      </c>
      <c r="I13" s="1044">
        <f t="shared" si="0"/>
        <v>0</v>
      </c>
      <c r="J13" s="1013">
        <f t="shared" si="0"/>
        <v>0</v>
      </c>
      <c r="K13" s="1013">
        <f t="shared" si="0"/>
        <v>0</v>
      </c>
      <c r="L13" s="1045">
        <f t="shared" si="0"/>
        <v>0</v>
      </c>
      <c r="M13" s="1045">
        <f t="shared" si="0"/>
        <v>0</v>
      </c>
      <c r="N13" s="1045">
        <f t="shared" si="0"/>
        <v>160</v>
      </c>
      <c r="O13" s="1046">
        <f t="shared" si="0"/>
        <v>0</v>
      </c>
      <c r="P13" s="1046">
        <f t="shared" si="0"/>
        <v>0</v>
      </c>
      <c r="Q13" s="1045">
        <f t="shared" si="0"/>
        <v>541</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22</v>
      </c>
      <c r="AC13" s="1045">
        <f t="shared" si="1"/>
        <v>508</v>
      </c>
      <c r="AD13" s="1045">
        <f t="shared" si="1"/>
        <v>0</v>
      </c>
      <c r="AE13" s="1045">
        <f t="shared" si="1"/>
        <v>0</v>
      </c>
      <c r="AF13" s="1045">
        <f t="shared" si="1"/>
        <v>91</v>
      </c>
      <c r="AG13" s="1045">
        <f t="shared" si="1"/>
        <v>0</v>
      </c>
      <c r="AH13" s="1045">
        <f t="shared" si="1"/>
        <v>239</v>
      </c>
      <c r="AI13" s="1045">
        <f t="shared" si="1"/>
        <v>0</v>
      </c>
      <c r="AJ13" s="1045">
        <f t="shared" si="1"/>
        <v>0</v>
      </c>
      <c r="AK13" s="1045">
        <f t="shared" si="1"/>
        <v>0</v>
      </c>
      <c r="AL13" s="1045">
        <f t="shared" si="1"/>
        <v>0</v>
      </c>
      <c r="AM13" s="1045">
        <f t="shared" si="1"/>
        <v>8456</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348</v>
      </c>
      <c r="BD13" s="1045">
        <f t="shared" si="1"/>
        <v>781</v>
      </c>
      <c r="BE13" s="1045">
        <f t="shared" si="1"/>
        <v>0</v>
      </c>
      <c r="BF13" s="1045">
        <f t="shared" si="1"/>
        <v>0</v>
      </c>
      <c r="BG13" s="1045">
        <f>IF(ISNUMBER(Datos!K13/Datos!J13),Datos!K13/Datos!J13," - ")</f>
        <v>0.92167832167832164</v>
      </c>
      <c r="BH13" s="1049">
        <f>IF(ISNUMBER(((Datos!L13/Datos!K13)*11)/factor_trimestre),((Datos!L13/Datos!K13)*11)/factor_trimestre," - ")</f>
        <v>4.6090035407182599</v>
      </c>
      <c r="BI13" s="1045">
        <f>IF(ISNUMBER('Resol  Asuntos'!D13/NºAsuntos!G13),'Resol  Asuntos'!D13/NºAsuntos!G13," - ")</f>
        <v>0.16126042632066728</v>
      </c>
      <c r="BJ13" s="1045" t="str">
        <f>IF(ISNUMBER(Datos!CI13/Datos!CJ13),Datos!CI13/Datos!CJ13," - ")</f>
        <v xml:space="preserve"> - </v>
      </c>
      <c r="BK13" s="1045">
        <f>SUBTOTAL(9,BK8:BK12)</f>
        <v>0</v>
      </c>
      <c r="BL13" s="1045">
        <f>IF(ISNUMBER((I13-AB13+L13)/(F13)),(I13-AB13+L13)/(F13)," - ")</f>
        <v>-0.24175824175824176</v>
      </c>
      <c r="BM13" s="1050">
        <f>SUBTOTAL(9,BM9:BM12)</f>
        <v>3.8186650125856723E-2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3</v>
      </c>
      <c r="B15" s="646" t="s">
        <v>400</v>
      </c>
      <c r="C15" s="656" t="str">
        <f>Datos!A15</f>
        <v xml:space="preserve">Jdos. Instrucción                               </v>
      </c>
      <c r="D15" s="657"/>
      <c r="E15" s="1330">
        <f>IF(ISNUMBER(Datos!AQ15),Datos!AQ15," - ")</f>
        <v>3</v>
      </c>
      <c r="F15" s="647">
        <f>IF(ISNUMBER(AF15+AB15-Datos!J15-L15),AF15+AB15-Datos!J15-L15," - ")</f>
        <v>1651</v>
      </c>
      <c r="G15" s="650">
        <f>IF(ISNUMBER(IF(D_I="SI",Datos!I15,Datos!I15+Datos!AC15)),IF(D_I="SI",Datos!I15,Datos!I15+Datos!AC15)," - ")</f>
        <v>1621</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80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1849</v>
      </c>
      <c r="AC15" s="230">
        <f>IF(ISNUMBER(Datos!Q15),Datos!Q15," - ")</f>
        <v>88</v>
      </c>
      <c r="AD15" s="343"/>
      <c r="AE15" s="515"/>
      <c r="AF15" s="648">
        <f>IF(ISNUMBER(IF(D_I="SI",Datos!L15,Datos!L15+Datos!AF15)),IF(D_I="SI",Datos!L15,Datos!L15+Datos!AF15)," - ")</f>
        <v>1931</v>
      </c>
      <c r="AG15" s="343"/>
      <c r="AH15" s="343"/>
      <c r="AI15" s="343"/>
      <c r="AJ15" s="503"/>
      <c r="AK15" s="343"/>
      <c r="AL15" s="499"/>
      <c r="AM15" s="344">
        <f>IF(ISNUMBER(Datos!R15),Datos!R15," - ")</f>
        <v>339</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317</v>
      </c>
      <c r="BD15" s="233">
        <f>IF(ISNUMBER(Datos!N15),Datos!N15," - ")</f>
        <v>1046</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0.8684828558008455</v>
      </c>
      <c r="BH15" s="669">
        <f>IF(ISNUMBER(((IF(D_I="SI",Datos!L15/Datos!K15,(Datos!L15+Datos!AF15)/(Datos!K15+Datos!AE15)))*11)/factor_trimestre),((IF(D_I="SI",Datos!L15/Datos!K15,(Datos!L15+Datos!AF15)/(Datos!K15+Datos!AE15)))*11)/factor_trimestre," - ")</f>
        <v>2.0886965927528394</v>
      </c>
      <c r="BI15" s="247">
        <f>IF(ISNUMBER('Resol  Asuntos'!D15/NºAsuntos!G15),'Resol  Asuntos'!D15/NºAsuntos!G15," - ")</f>
        <v>0.17144402379664683</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0</v>
      </c>
      <c r="B16" s="646" t="s">
        <v>400</v>
      </c>
      <c r="C16" s="656" t="str">
        <f>Datos!A16</f>
        <v xml:space="preserve">Jdos. 1ª Instª. e Instr.                        </v>
      </c>
      <c r="D16" s="657"/>
      <c r="E16" s="1330">
        <f>IF(ISNUMBER(Datos!AQ16),Datos!AQ16," - ")</f>
        <v>0</v>
      </c>
      <c r="F16" s="647" t="str">
        <f>IF(ISNUMBER(AF16+AB16-Datos!J16-L16),AF16+AB16-Datos!J16-L16," - ")</f>
        <v xml:space="preserve"> - </v>
      </c>
      <c r="G16" s="650" t="str">
        <f>IF(ISNUMBER(IF(D_I="SI",Datos!I16,Datos!I16+Datos!AC16)),IF(D_I="SI",Datos!I16,Datos!I16+Datos!AC16)," - ")</f>
        <v xml:space="preserve"> - </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t="str">
        <f>IF(ISNUMBER(IF(D_I="SI",Datos!K16,Datos!K16+Datos!AE16)),IF(D_I="SI",Datos!K16,Datos!K16+Datos!AE16)," - ")</f>
        <v xml:space="preserve"> - </v>
      </c>
      <c r="AC16" s="230" t="str">
        <f>IF(ISNUMBER(Datos!Q16),Datos!Q16," - ")</f>
        <v xml:space="preserve"> - </v>
      </c>
      <c r="AD16" s="343"/>
      <c r="AE16" s="515"/>
      <c r="AF16" s="648" t="str">
        <f>IF(ISNUMBER(IF(D_I="SI",Datos!L16,Datos!L16+Datos!AF16)),IF(D_I="SI",Datos!L16,Datos!L16+Datos!AF16)," - ")</f>
        <v xml:space="preserve"> - </v>
      </c>
      <c r="AG16" s="343"/>
      <c r="AH16" s="343"/>
      <c r="AI16" s="343"/>
      <c r="AJ16" s="503"/>
      <c r="AK16" s="343"/>
      <c r="AL16" s="499"/>
      <c r="AM16" s="344" t="str">
        <f>IF(ISNUMBER(Datos!R16),Datos!R16," - ")</f>
        <v xml:space="preserve"> - </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t="str">
        <f>IF(ISNUMBER(Datos!M16),Datos!M16," - ")</f>
        <v xml:space="preserve"> - </v>
      </c>
      <c r="BD16" s="233" t="str">
        <f>IF(ISNUMBER(Datos!N16),Datos!N16," - ")</f>
        <v xml:space="preserve"> - </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1</v>
      </c>
      <c r="F17" s="506" t="str">
        <f>IF(ISNUMBER(AF17+AB17-I17-L17),AF17+AB17-I17-L17," - ")</f>
        <v xml:space="preserve"> - </v>
      </c>
      <c r="G17" s="497">
        <f>IF(ISNUMBER(IF(D_I="SI",Datos!I17,Datos!I17+Datos!AC17)),IF(D_I="SI",Datos!I17,Datos!I17+Datos!AC17)," - ")</f>
        <v>100</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14</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248</v>
      </c>
      <c r="AC17" s="501">
        <f>IF(ISNUMBER(Datos!Q17),Datos!Q17," - ")</f>
        <v>18</v>
      </c>
      <c r="AD17" s="503"/>
      <c r="AE17" s="515"/>
      <c r="AF17" s="505">
        <f>IF(ISNUMBER(Datos!L17),Datos!L17,"-")</f>
        <v>105</v>
      </c>
      <c r="AG17" s="503"/>
      <c r="AH17" s="503"/>
      <c r="AI17" s="503"/>
      <c r="AJ17" s="503"/>
      <c r="AK17" s="503"/>
      <c r="AL17" s="504"/>
      <c r="AM17" s="671">
        <f>IF(ISNUMBER(Datos!R17),Datos!R17," - ")</f>
        <v>22</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60</v>
      </c>
      <c r="BD17" s="619">
        <f>IF(ISNUMBER(Datos!N17),Datos!N17," - ")</f>
        <v>165</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0.98023715415019763</v>
      </c>
      <c r="BH17" s="669">
        <f>IF(ISNUMBER(((IF(D_I="SI",Datos!L17/Datos!K17,(Datos!L17+Datos!AF17)/(Datos!K17+Datos!AE17)))*11)/factor_trimestre),((IF(D_I="SI",Datos!L17/Datos!K17,(Datos!L17+Datos!AF17)/(Datos!K17+Datos!AE17)))*11)/factor_trimestre," - ")</f>
        <v>0.84677419354838712</v>
      </c>
      <c r="BI17" s="668">
        <f>IF(ISNUMBER('Resol  Asuntos'!D17/NºAsuntos!G17),'Resol  Asuntos'!D17/NºAsuntos!G17," - ")</f>
        <v>0.24193548387096775</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4</v>
      </c>
      <c r="F18" s="1044">
        <f>SUBTOTAL(9,F15:F17)</f>
        <v>1651</v>
      </c>
      <c r="G18" s="1044">
        <f>SUBTOTAL(9,G15:G17)</f>
        <v>1721</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94</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2097</v>
      </c>
      <c r="AC18" s="1045">
        <f t="shared" si="4"/>
        <v>106</v>
      </c>
      <c r="AD18" s="1045">
        <f t="shared" si="4"/>
        <v>0</v>
      </c>
      <c r="AE18" s="1045">
        <f t="shared" si="4"/>
        <v>0</v>
      </c>
      <c r="AF18" s="1045">
        <f t="shared" si="4"/>
        <v>2036</v>
      </c>
      <c r="AG18" s="1045">
        <f t="shared" si="4"/>
        <v>0</v>
      </c>
      <c r="AH18" s="1045">
        <f t="shared" si="4"/>
        <v>0</v>
      </c>
      <c r="AI18" s="1045">
        <f t="shared" si="4"/>
        <v>0</v>
      </c>
      <c r="AJ18" s="1045">
        <f t="shared" si="4"/>
        <v>0</v>
      </c>
      <c r="AK18" s="1045">
        <f t="shared" si="4"/>
        <v>0</v>
      </c>
      <c r="AL18" s="1045">
        <f t="shared" si="4"/>
        <v>0</v>
      </c>
      <c r="AM18" s="1045">
        <f t="shared" si="4"/>
        <v>361</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377</v>
      </c>
      <c r="BD18" s="1045">
        <f t="shared" si="4"/>
        <v>1211</v>
      </c>
      <c r="BE18" s="1045">
        <f t="shared" si="4"/>
        <v>0</v>
      </c>
      <c r="BF18" s="1045">
        <f t="shared" si="4"/>
        <v>0</v>
      </c>
      <c r="BG18" s="1045">
        <f>IF(ISNUMBER(Datos!K18/Datos!J18),Datos!K18/Datos!J18," - ")</f>
        <v>0.88035264483627207</v>
      </c>
      <c r="BH18" s="1049">
        <f>IF(ISNUMBER(((Datos!L18/Datos!K18)*11)/factor_trimestre),((Datos!L18/Datos!K18)*11)/factor_trimestre," - ")</f>
        <v>1.9418216499761565</v>
      </c>
      <c r="BI18" s="1045">
        <f>SUBTOTAL(9,BI15:BI17)</f>
        <v>0.41337950766761455</v>
      </c>
      <c r="BJ18" s="1045">
        <f>SUBTOTAL(9,BJ15:BJ17)</f>
        <v>0</v>
      </c>
      <c r="BK18" s="1045">
        <f>SUBTOTAL(9,BK15:BK17)</f>
        <v>0</v>
      </c>
      <c r="BL18" s="1045">
        <f>IF(ISNUMBER((I18-AB18+L18)/(F18)),(I18-AB18+L18)/(F18)," - ")</f>
        <v>-1.2701393095093882</v>
      </c>
      <c r="BM18" s="1051">
        <f>IF(ISNUMBER((Datos!P18-Datos!Q18)/(Datos!R18-Datos!P18+Datos!Q18)),(Datos!P18-Datos!Q18)/(Datos!R18-Datos!P18+Datos!Q18)," - ")</f>
        <v>-3.2171581769436998E-2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11</v>
      </c>
      <c r="F19" s="966">
        <f t="shared" si="6"/>
        <v>1742</v>
      </c>
      <c r="G19" s="966">
        <f t="shared" si="6"/>
        <v>1812</v>
      </c>
      <c r="H19" s="968">
        <f t="shared" si="6"/>
        <v>0</v>
      </c>
      <c r="I19" s="966">
        <f t="shared" si="6"/>
        <v>0</v>
      </c>
      <c r="J19" s="968">
        <f t="shared" si="6"/>
        <v>0</v>
      </c>
      <c r="K19" s="968">
        <f t="shared" si="6"/>
        <v>0</v>
      </c>
      <c r="L19" s="1027">
        <f t="shared" si="6"/>
        <v>0</v>
      </c>
      <c r="M19" s="1027">
        <f t="shared" si="6"/>
        <v>0</v>
      </c>
      <c r="N19" s="1027">
        <f t="shared" si="6"/>
        <v>160</v>
      </c>
      <c r="O19" s="1027">
        <f t="shared" si="6"/>
        <v>0</v>
      </c>
      <c r="P19" s="1027">
        <f t="shared" si="6"/>
        <v>0</v>
      </c>
      <c r="Q19" s="968">
        <f t="shared" si="6"/>
        <v>635</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2119</v>
      </c>
      <c r="AC19" s="967">
        <f t="shared" si="7"/>
        <v>614</v>
      </c>
      <c r="AD19" s="967">
        <f t="shared" si="7"/>
        <v>0</v>
      </c>
      <c r="AE19" s="967">
        <f t="shared" si="7"/>
        <v>0</v>
      </c>
      <c r="AF19" s="974">
        <f t="shared" si="7"/>
        <v>2127</v>
      </c>
      <c r="AG19" s="974">
        <f t="shared" si="7"/>
        <v>0</v>
      </c>
      <c r="AH19" s="974">
        <f t="shared" si="7"/>
        <v>239</v>
      </c>
      <c r="AI19" s="974">
        <f t="shared" si="7"/>
        <v>0</v>
      </c>
      <c r="AJ19" s="967">
        <f t="shared" si="7"/>
        <v>0</v>
      </c>
      <c r="AK19" s="974">
        <f t="shared" si="7"/>
        <v>0</v>
      </c>
      <c r="AL19" s="974">
        <f t="shared" si="7"/>
        <v>0</v>
      </c>
      <c r="AM19" s="974">
        <f t="shared" si="7"/>
        <v>8817</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725</v>
      </c>
      <c r="BD19" s="966">
        <f t="shared" si="7"/>
        <v>1992</v>
      </c>
      <c r="BE19" s="966">
        <f t="shared" si="7"/>
        <v>0</v>
      </c>
      <c r="BF19" s="976">
        <f t="shared" si="7"/>
        <v>0</v>
      </c>
      <c r="BG19" s="1061">
        <f>IF(ISNUMBER(Datos!K19/Datos!J19),Datos!K19/Datos!J19," - ")</f>
        <v>0.8999337309476475</v>
      </c>
      <c r="BH19" s="1061">
        <f>IF(ISNUMBER(((Datos!L19/Datos!K19)*11)/factor_trimestre),((Datos!L19/Datos!K19)*11)/factor_trimestre," - ")</f>
        <v>3.2361315660284733</v>
      </c>
      <c r="BI19" s="959">
        <f>IF(ISNUMBER(Datos!J19/Datos!I19),Datos!J19/Datos!I19," - ")</f>
        <v>0.74103781306269434</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-1.2164179104477613</v>
      </c>
      <c r="BM19" s="1035">
        <f>IF(ISNUMBER((Datos!P19-Datos!Q19+R19)/(Datos!R19-Datos!P19+Datos!Q19-R19)),(Datos!P19-Datos!Q19+R19)/(Datos!R19-Datos!P19+Datos!Q19-R19)," - ")</f>
        <v>2.3874488403819918E-3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724.8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2.6977356760397742</v>
      </c>
      <c r="F21" s="599">
        <f>IF(ISNUMBER(STDEV(F8:F18)),STDEV(F8:F18),"-")</f>
        <v>900.66641993581618</v>
      </c>
      <c r="G21" s="600">
        <f>IF(ISNUMBER(STDEV(G8:G18)),STDEV(G8:G18),"-")</f>
        <v>864.48956037652647</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1035.1996425810821</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173.51986300462221</v>
      </c>
      <c r="BD21" s="599"/>
      <c r="BE21" s="599">
        <f>IF(ISNUMBER(STDEV(BE8:BE18)),STDEV(BE8:BE18),"-")</f>
        <v>0</v>
      </c>
      <c r="BF21" s="604">
        <f>IF(ISNUMBER(STDEV(BF8:BF18)),STDEV(BF8:BF18),"-")</f>
        <v>0</v>
      </c>
      <c r="BG21" s="914">
        <f>IF(ISNUMBER(STDEV(BG8:BG18)),STDEV(BG8:BG18),"-")</f>
        <v>5.2472809662620072E-2</v>
      </c>
      <c r="BH21" s="918">
        <f>IF(ISNUMBER(STDEV(BH8:BH18)),STDEV(BH8:BH18),"-")</f>
        <v>2.6855390497322795</v>
      </c>
      <c r="BI21" s="253">
        <f>IF(ISNUMBER(STDEV(BI8:BI18)),STDEV(BI8:BI18),"-")</f>
        <v>0.11657296689999205</v>
      </c>
      <c r="BJ21" s="234" t="str">
        <f>IF(ISNUMBER(BL21/BM21),BL21/BM21," - ")</f>
        <v xml:space="preserve"> - </v>
      </c>
      <c r="BK21" s="626"/>
      <c r="BL21" s="607">
        <f>IF(ISNUMBER(STDEV(BL8:BL18)),STDEV(BL8:BL18),"-")</f>
        <v>0.72717522665069811</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jxnxYM3SHhekGzDGYPpy4Z7d4CL81X/hiJmQqUVgJxwdeHDS2nhgAIwHWo1QE7Y7rwvMokSxT3Q++TeefPYaJA==" saltValue="0s+Njs2aAS3bhYz+9G6lv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COMUNIDAD VALENCIANA</v>
      </c>
    </row>
    <row r="2" spans="1:73" ht="16.5" customHeight="1">
      <c r="C2" s="574" t="str">
        <f>Criterios!A10 &amp;"  "&amp;Criterios!B10 &amp; "  " &amp; IF(NOT(ISBLANK(Criterios!A11)),Criterios!A11 &amp;"  "&amp;Criterios!B11,"")</f>
        <v>Provincias  VALENCIA  Resumenes por Partidos Judiciales  GANDIA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6</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534</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501</v>
      </c>
      <c r="AA9" s="505" t="str">
        <f>IF(ISNUMBER(IF(J_V="SI",Datos!L9,Datos!L9+Datos!AB9)-IF(Monitorios="SI",Datos!CD9,0)),
                          IF(J_V="SI",Datos!L9,Datos!L9+Datos!AB9)-IF(Monitorios="SI",Datos!CD9,0),
                          " - ")</f>
        <v xml:space="preserve"> - </v>
      </c>
      <c r="AB9" s="503"/>
      <c r="AC9" s="503"/>
      <c r="AD9" s="516"/>
      <c r="AE9" s="516">
        <f>IF(ISNUMBER(Datos!R9),Datos!R9," - ")</f>
        <v>8108</v>
      </c>
      <c r="AF9" s="619" t="str">
        <f>IF(ISNUMBER(Datos!BV9),Datos!BV9," - ")</f>
        <v xml:space="preserve"> - </v>
      </c>
      <c r="AG9" s="506" t="str">
        <f>IF(ISNUMBER(Datos!DV9),Datos!DV9," - ")</f>
        <v xml:space="preserve"> - </v>
      </c>
      <c r="AH9" s="507"/>
      <c r="AI9" s="508"/>
      <c r="AJ9" s="506">
        <f>IF(ISNUMBER(Datos!M9),Datos!M9," - ")</f>
        <v>337</v>
      </c>
      <c r="AK9" s="619">
        <f>IF(ISNUMBER(Datos!N9),Datos!N9," - ")</f>
        <v>773</v>
      </c>
      <c r="AL9" s="619" t="str">
        <f>IF(ISNUMBER(Datos!BW9),Datos!BW9," - ")</f>
        <v xml:space="preserve"> - </v>
      </c>
      <c r="AM9" s="667" t="str">
        <f>IF(ISNUMBER(Datos!BX9),Datos!BX9," - ")</f>
        <v xml:space="preserve"> - </v>
      </c>
      <c r="AN9" s="668"/>
      <c r="AO9" s="669">
        <f>IF(ISNUMBER(((NºAsuntos!I9/NºAsuntos!G9)*11)/factor_trimestre),((NºAsuntos!I9/NºAsuntos!G9)*11)/factor_trimestre," - ")</f>
        <v>4.404494382022472</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4.0866873065015484E-3</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1</v>
      </c>
      <c r="F10" s="506">
        <f>IF(ISNUMBER(Datos!L10+Datos!K10-Datos!J10),Datos!L10+Datos!K10-Datos!J10," - ")</f>
        <v>91</v>
      </c>
      <c r="G10" s="506">
        <f>IF(ISNUMBER(Datos!I10),Datos!I10," - ")</f>
        <v>91</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7</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22</v>
      </c>
      <c r="Z10" s="703">
        <f>IF(ISNUMBER(Datos!Q10),Datos!Q10," - ")</f>
        <v>4</v>
      </c>
      <c r="AA10" s="505">
        <f>IF(ISNUMBER(Datos!L10),Datos!L10,"-")</f>
        <v>91</v>
      </c>
      <c r="AB10" s="503"/>
      <c r="AC10" s="503"/>
      <c r="AD10" s="516"/>
      <c r="AE10" s="516">
        <f>IF(ISNUMBER(Datos!R10),Datos!R10," - ")</f>
        <v>70</v>
      </c>
      <c r="AF10" s="619" t="str">
        <f>IF(ISNUMBER(Datos!BV10),Datos!BV10," - ")</f>
        <v xml:space="preserve"> - </v>
      </c>
      <c r="AG10" s="506" t="str">
        <f>IF(ISNUMBER(Datos!DV10),Datos!DV10," - ")</f>
        <v xml:space="preserve"> - </v>
      </c>
      <c r="AH10" s="507"/>
      <c r="AI10" s="508"/>
      <c r="AJ10" s="506">
        <f>IF(ISNUMBER(Datos!M10),Datos!M10," - ")</f>
        <v>11</v>
      </c>
      <c r="AK10" s="619">
        <f>IF(ISNUMBER(Datos!N10),Datos!N10," - ")</f>
        <v>8</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8.2727272727272734</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4.4776119402985072E-2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3</v>
      </c>
      <c r="AA12" s="505" t="str">
        <f>IF(ISNUMBER(IF(J_V="SI",Datos!L12,Datos!L12+Datos!AB12)-IF(Monitorios="SI",Datos!CD12,0)),
                          IF(J_V="SI",Datos!L12,Datos!L12+Datos!AB12)-IF(Monitorios="SI",Datos!CD12,0),
                          " - ")</f>
        <v xml:space="preserve"> - </v>
      </c>
      <c r="AB12" s="503"/>
      <c r="AC12" s="503"/>
      <c r="AD12" s="516"/>
      <c r="AE12" s="516">
        <f>IF(ISNUMBER(Datos!R12),Datos!R12," - ")</f>
        <v>278</v>
      </c>
      <c r="AF12" s="619" t="str">
        <f>IF(ISNUMBER(Datos!BV12),Datos!BV12," - ")</f>
        <v xml:space="preserve"> - </v>
      </c>
      <c r="AG12" s="506" t="str">
        <f>IF(ISNUMBER(Datos!DV12),Datos!DV12," - ")</f>
        <v xml:space="preserve"> - </v>
      </c>
      <c r="AH12" s="507"/>
      <c r="AI12" s="508"/>
      <c r="AJ12" s="506">
        <f>IF(ISNUMBER(Datos!M12),Datos!M12," - ")</f>
        <v>0</v>
      </c>
      <c r="AK12" s="619">
        <f>IF(ISNUMBER(Datos!N12),Datos!N12," - ")</f>
        <v>0</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-1.0676156583629894E-2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7</v>
      </c>
      <c r="F13" s="1044">
        <f>SUBTOTAL(9,F8:F12)</f>
        <v>91</v>
      </c>
      <c r="G13" s="1044">
        <f>SUBTOTAL(9,G8:G12)</f>
        <v>91</v>
      </c>
      <c r="H13" s="1054"/>
      <c r="I13" s="1044">
        <f t="shared" ref="I13:N13" si="0">SUBTOTAL(9,I8:I12)</f>
        <v>0</v>
      </c>
      <c r="J13" s="1013">
        <f t="shared" si="0"/>
        <v>0</v>
      </c>
      <c r="K13" s="1054">
        <f t="shared" si="0"/>
        <v>0</v>
      </c>
      <c r="L13" s="1054">
        <f t="shared" si="0"/>
        <v>0</v>
      </c>
      <c r="M13" s="1054">
        <f t="shared" si="0"/>
        <v>0</v>
      </c>
      <c r="N13" s="1054">
        <f t="shared" si="0"/>
        <v>541</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22</v>
      </c>
      <c r="Z13" s="1053">
        <f t="shared" si="2"/>
        <v>508</v>
      </c>
      <c r="AA13" s="1046">
        <f t="shared" si="2"/>
        <v>91</v>
      </c>
      <c r="AB13" s="1046">
        <f t="shared" si="2"/>
        <v>0</v>
      </c>
      <c r="AC13" s="1046">
        <f t="shared" si="2"/>
        <v>0</v>
      </c>
      <c r="AD13" s="1046">
        <f t="shared" si="2"/>
        <v>0</v>
      </c>
      <c r="AE13" s="1046">
        <f t="shared" si="2"/>
        <v>8456</v>
      </c>
      <c r="AF13" s="1054">
        <f t="shared" si="2"/>
        <v>0</v>
      </c>
      <c r="AG13" s="1054">
        <f t="shared" si="2"/>
        <v>0</v>
      </c>
      <c r="AH13" s="1054">
        <f t="shared" si="2"/>
        <v>0</v>
      </c>
      <c r="AI13" s="1054">
        <f t="shared" si="2"/>
        <v>0</v>
      </c>
      <c r="AJ13" s="1054">
        <f t="shared" si="2"/>
        <v>348</v>
      </c>
      <c r="AK13" s="1054">
        <f t="shared" si="2"/>
        <v>781</v>
      </c>
      <c r="AL13" s="1054">
        <f t="shared" si="2"/>
        <v>0</v>
      </c>
      <c r="AM13" s="1054">
        <f t="shared" si="2"/>
        <v>0</v>
      </c>
      <c r="AN13" s="1054">
        <f t="shared" si="2"/>
        <v>0</v>
      </c>
      <c r="AO13" s="1050">
        <f>IF(ISNUMBER(((NºAsuntos!I13/NºAsuntos!G13)*11)/factor_trimestre),((NºAsuntos!I13/NºAsuntos!G13)*11)/factor_trimestre," - ")</f>
        <v>4.4439295644114924</v>
      </c>
      <c r="AP13" s="1056" t="str">
        <f>IF(ISNUMBER(Datos!CI13/Datos!CJ13),Datos!CI13/Datos!CJ13," - ")</f>
        <v xml:space="preserve"> - </v>
      </c>
      <c r="AQ13" s="1074">
        <f t="shared" ref="AQ13:AV13" si="3">SUBTOTAL(9,AQ9:AQ12)</f>
        <v>0</v>
      </c>
      <c r="AR13" s="1074">
        <f t="shared" si="3"/>
        <v>3.8186650125856723E-2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3</v>
      </c>
      <c r="B15" s="653" t="s">
        <v>400</v>
      </c>
      <c r="C15" s="670" t="str">
        <f>Datos!A15</f>
        <v xml:space="preserve">Jdos. Instrucción                               </v>
      </c>
      <c r="D15" s="543"/>
      <c r="E15" s="1333">
        <f>IF(ISNUMBER(Datos!AQ15),Datos!AQ15," - ")</f>
        <v>3</v>
      </c>
      <c r="F15" s="497">
        <f>IF(ISNUMBER(AA15+Y15-Datos!J15-K15),AA15+Y15-Datos!J15-K15," - ")</f>
        <v>1651</v>
      </c>
      <c r="G15" s="506">
        <f>IF(ISNUMBER(IF(D_I="SI",Datos!I15,Datos!I15+Datos!AC15)),IF(D_I="SI",Datos!I15,Datos!I15+Datos!AC15)," - ")</f>
        <v>1621</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80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1849</v>
      </c>
      <c r="Z15" s="703">
        <f>IF(ISNUMBER(Datos!Q15),Datos!Q15," - ")</f>
        <v>88</v>
      </c>
      <c r="AA15" s="505">
        <f>IF(ISNUMBER(IF(D_I="SI",Datos!L15,Datos!L15+Datos!AF15)),IF(D_I="SI",Datos!L15,Datos!L15+Datos!AF15)," - ")</f>
        <v>1931</v>
      </c>
      <c r="AB15" s="503"/>
      <c r="AC15" s="503"/>
      <c r="AD15" s="516"/>
      <c r="AE15" s="516">
        <f>IF(ISNUMBER(Datos!R15),Datos!R15," - ")</f>
        <v>339</v>
      </c>
      <c r="AF15" s="619" t="str">
        <f>IF(ISNUMBER(Datos!BV15),Datos!BV15," - ")</f>
        <v xml:space="preserve"> - </v>
      </c>
      <c r="AG15" s="506"/>
      <c r="AH15" s="507"/>
      <c r="AI15" s="508"/>
      <c r="AJ15" s="506">
        <f>IF(ISNUMBER(Datos!M15),Datos!M15," - ")</f>
        <v>317</v>
      </c>
      <c r="AK15" s="619">
        <f>IF(ISNUMBER(Datos!N15),Datos!N15," - ")</f>
        <v>1046</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2.0886965927528394</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0</v>
      </c>
      <c r="B16" s="653" t="s">
        <v>400</v>
      </c>
      <c r="C16" s="670" t="str">
        <f>Datos!A16</f>
        <v xml:space="preserve">Jdos. 1ª Instª. e Instr.                        </v>
      </c>
      <c r="D16" s="543"/>
      <c r="E16" s="1333">
        <f>IF(ISNUMBER(Datos!AQ16),Datos!AQ16," - ")</f>
        <v>0</v>
      </c>
      <c r="F16" s="497" t="str">
        <f>IF(ISNUMBER(AA16+Y16-Datos!J16-K15),AA16+Y16-Datos!J16-K15," - ")</f>
        <v xml:space="preserve"> - </v>
      </c>
      <c r="G16" s="506" t="str">
        <f>IF(ISNUMBER(IF(D_I="SI",Datos!I16,Datos!I16+Datos!AC16)),IF(D_I="SI",Datos!I16,Datos!I16+Datos!AC16)," - ")</f>
        <v xml:space="preserve"> - </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t="str">
        <f>IF(ISNUMBER(IF(D_I="SI",Datos!K16,Datos!K16+Datos!AE16)),IF(D_I="SI",Datos!K16,Datos!K16+Datos!AE16)," - ")</f>
        <v xml:space="preserve"> - </v>
      </c>
      <c r="Z16" s="703" t="str">
        <f>IF(ISNUMBER(Datos!Q16),Datos!Q16," - ")</f>
        <v xml:space="preserve"> - </v>
      </c>
      <c r="AA16" s="505" t="str">
        <f>IF(ISNUMBER(IF(D_I="SI",Datos!L16,Datos!L16+Datos!AF16)),IF(D_I="SI",Datos!L16,Datos!L16+Datos!AF16)," - ")</f>
        <v xml:space="preserve"> - </v>
      </c>
      <c r="AB16" s="503"/>
      <c r="AC16" s="503"/>
      <c r="AD16" s="516"/>
      <c r="AE16" s="516" t="str">
        <f>IF(ISNUMBER(Datos!R16),Datos!R16," - ")</f>
        <v xml:space="preserve"> - </v>
      </c>
      <c r="AF16" s="619" t="str">
        <f>IF(ISNUMBER(Datos!BV16),Datos!BV16," - ")</f>
        <v xml:space="preserve"> - </v>
      </c>
      <c r="AG16" s="506"/>
      <c r="AH16" s="507"/>
      <c r="AI16" s="508"/>
      <c r="AJ16" s="506" t="str">
        <f>IF(ISNUMBER(Datos!M16),Datos!M16," - ")</f>
        <v xml:space="preserve"> - </v>
      </c>
      <c r="AK16" s="619" t="str">
        <f>IF(ISNUMBER(Datos!N16),Datos!N16," - ")</f>
        <v xml:space="preserve"> - </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1</v>
      </c>
      <c r="F17" s="506" t="str">
        <f>IF(ISNUMBER(AA17+Y17-I17-K17),AA17+Y17-I17-K17," - ")</f>
        <v xml:space="preserve"> - </v>
      </c>
      <c r="G17" s="740">
        <f>IF(ISNUMBER(IF(D_I="SI",Datos!I17,Datos!I17+Datos!AC17)),IF(D_I="SI",Datos!I17,Datos!I17+Datos!AC17)," - ")</f>
        <v>100</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14</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248</v>
      </c>
      <c r="Z17" s="703">
        <f>IF(ISNUMBER(Datos!Q17),Datos!Q17," - ")</f>
        <v>18</v>
      </c>
      <c r="AA17" s="505">
        <f>IF(ISNUMBER(Datos!L17),Datos!L17,"-")</f>
        <v>105</v>
      </c>
      <c r="AB17" s="503"/>
      <c r="AC17" s="503"/>
      <c r="AD17" s="516"/>
      <c r="AE17" s="516">
        <f>IF(ISNUMBER(Datos!R17),Datos!R17," - ")</f>
        <v>22</v>
      </c>
      <c r="AF17" s="619" t="str">
        <f>IF(ISNUMBER(Datos!BV17),Datos!BV17," - ")</f>
        <v xml:space="preserve"> - </v>
      </c>
      <c r="AG17" s="506" t="str">
        <f>IF(ISNUMBER(Datos!DV17),Datos!DV17," - ")</f>
        <v xml:space="preserve"> - </v>
      </c>
      <c r="AH17" s="507"/>
      <c r="AI17" s="508"/>
      <c r="AJ17" s="506">
        <f>IF(ISNUMBER(Datos!M17),Datos!M17," - ")</f>
        <v>60</v>
      </c>
      <c r="AK17" s="619">
        <f>IF(ISNUMBER(Datos!N17),Datos!N17," - ")</f>
        <v>165</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0.84677419354838712</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4</v>
      </c>
      <c r="F18" s="1044">
        <f>SUBTOTAL(9,F15:F17)</f>
        <v>1651</v>
      </c>
      <c r="G18" s="1044">
        <f>SUBTOTAL(9,G15:G17)</f>
        <v>1721</v>
      </c>
      <c r="H18" s="1078">
        <f>SUBTOTAL(9,H15:H17)</f>
        <v>0</v>
      </c>
      <c r="I18" s="1057">
        <f>SUBTOTAL(9,I15:I17)</f>
        <v>0</v>
      </c>
      <c r="J18" s="1013">
        <f>SUBTOTAL(9,J14:J17)</f>
        <v>0</v>
      </c>
      <c r="K18" s="1078">
        <f t="shared" ref="K18:S18" si="4">SUBTOTAL(9,K15:K17)</f>
        <v>0</v>
      </c>
      <c r="L18" s="1078">
        <f t="shared" si="4"/>
        <v>0</v>
      </c>
      <c r="M18" s="1078">
        <f t="shared" si="4"/>
        <v>0</v>
      </c>
      <c r="N18" s="1078">
        <f t="shared" si="4"/>
        <v>94</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2097</v>
      </c>
      <c r="Z18" s="1078">
        <f t="shared" si="5"/>
        <v>106</v>
      </c>
      <c r="AA18" s="1078">
        <f t="shared" si="5"/>
        <v>2036</v>
      </c>
      <c r="AB18" s="1078">
        <f t="shared" si="5"/>
        <v>0</v>
      </c>
      <c r="AC18" s="1078">
        <f t="shared" si="5"/>
        <v>0</v>
      </c>
      <c r="AD18" s="1078">
        <f t="shared" si="5"/>
        <v>0</v>
      </c>
      <c r="AE18" s="1078">
        <f t="shared" si="5"/>
        <v>361</v>
      </c>
      <c r="AF18" s="1078">
        <f t="shared" si="5"/>
        <v>0</v>
      </c>
      <c r="AG18" s="1078">
        <f t="shared" si="5"/>
        <v>0</v>
      </c>
      <c r="AH18" s="1078">
        <f t="shared" si="5"/>
        <v>0</v>
      </c>
      <c r="AI18" s="1078">
        <f t="shared" si="5"/>
        <v>0</v>
      </c>
      <c r="AJ18" s="1078">
        <f t="shared" si="5"/>
        <v>377</v>
      </c>
      <c r="AK18" s="1078">
        <f t="shared" si="5"/>
        <v>1211</v>
      </c>
      <c r="AL18" s="1078">
        <f t="shared" si="5"/>
        <v>0</v>
      </c>
      <c r="AM18" s="1078">
        <f t="shared" si="5"/>
        <v>0</v>
      </c>
      <c r="AN18" s="1078">
        <f t="shared" si="5"/>
        <v>0</v>
      </c>
      <c r="AO18" s="1080">
        <f>IF(ISNUMBER(((NºAsuntos!I18/NºAsuntos!G18)*11)/factor_trimestre),((NºAsuntos!I18/NºAsuntos!G18)*11)/factor_trimestre," - ")</f>
        <v>1.9418216499761565</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11</v>
      </c>
      <c r="F19" s="966">
        <f t="shared" si="7"/>
        <v>1742</v>
      </c>
      <c r="G19" s="966">
        <f t="shared" si="7"/>
        <v>1812</v>
      </c>
      <c r="H19" s="967">
        <f t="shared" si="7"/>
        <v>0</v>
      </c>
      <c r="I19" s="966">
        <f t="shared" si="7"/>
        <v>0</v>
      </c>
      <c r="J19" s="968">
        <f t="shared" si="7"/>
        <v>0</v>
      </c>
      <c r="K19" s="966">
        <f t="shared" si="7"/>
        <v>0</v>
      </c>
      <c r="L19" s="969">
        <f t="shared" si="7"/>
        <v>0</v>
      </c>
      <c r="M19" s="966">
        <f t="shared" si="7"/>
        <v>0</v>
      </c>
      <c r="N19" s="967">
        <f t="shared" si="7"/>
        <v>635</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2119</v>
      </c>
      <c r="Z19" s="973">
        <f t="shared" si="8"/>
        <v>614</v>
      </c>
      <c r="AA19" s="974">
        <f t="shared" si="8"/>
        <v>2127</v>
      </c>
      <c r="AB19" s="974">
        <f t="shared" si="8"/>
        <v>0</v>
      </c>
      <c r="AC19" s="974">
        <f t="shared" si="8"/>
        <v>0</v>
      </c>
      <c r="AD19" s="975">
        <f t="shared" si="8"/>
        <v>0</v>
      </c>
      <c r="AE19" s="975">
        <f t="shared" si="8"/>
        <v>8817</v>
      </c>
      <c r="AF19" s="976">
        <f t="shared" si="8"/>
        <v>0</v>
      </c>
      <c r="AG19" s="977">
        <f t="shared" si="8"/>
        <v>0</v>
      </c>
      <c r="AH19" s="978">
        <f t="shared" si="8"/>
        <v>0</v>
      </c>
      <c r="AI19" s="976">
        <f t="shared" si="8"/>
        <v>0</v>
      </c>
      <c r="AJ19" s="966">
        <f t="shared" si="8"/>
        <v>725</v>
      </c>
      <c r="AK19" s="966">
        <f t="shared" si="8"/>
        <v>1992</v>
      </c>
      <c r="AL19" s="966">
        <f t="shared" si="8"/>
        <v>0</v>
      </c>
      <c r="AM19" s="979">
        <f t="shared" si="8"/>
        <v>0</v>
      </c>
      <c r="AN19" s="969">
        <f>IF(ISNUMBER(Datos!K19/Datos!J19),Datos!K19/Datos!J19," - ")</f>
        <v>0.8999337309476475</v>
      </c>
      <c r="AO19" s="969">
        <f>IF(ISNUMBER(FIND("06",Criterios!A8,1)),(IF(ISNUMBER(((Datos!R19/Datos!Q19)*11)/factor_trimestre),((Datos!R19/Datos!Q19)*11)/factor_trimestre," - ")),(IF(ISNUMBER(((Datos!L19/Datos!K19)*11)/factor_trimestre),((Datos!L19/Datos!K19)*11)/factor_trimestre," - ")))</f>
        <v>3.2361315660284733</v>
      </c>
      <c r="AP19" s="980" t="str">
        <f>IF(ISNUMBER(Datos!CI19/Datos!CJ19),Datos!CI19/Datos!CJ19," - ")</f>
        <v xml:space="preserve"> - </v>
      </c>
      <c r="AQ19" s="980">
        <f>IF(OR(ISNUMBER(FIND("01",Criterios!A8,1)),ISNUMBER(FIND("02",Criterios!A8,1)),ISNUMBER(FIND("03",Criterios!A8,1)),ISNUMBER(FIND("04",Criterios!A8,1))),(J19-Y19+K19)/(F19-K19),(I19-Y19+K19)/(F19-K19))</f>
        <v>-1.2164179104477613</v>
      </c>
      <c r="AR19" s="980">
        <f>IF(ISNUMBER((Datos!P19-Datos!Q19+O19)/(Datos!R19-Datos!P19+Datos!Q19-O19)),(Datos!P19-Datos!Q19+O19)/(Datos!R19-Datos!P19+Datos!Q19-O19)," - ")</f>
        <v>2.3874488403819918E-3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724.8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900.66641993581618</v>
      </c>
      <c r="G21" s="600">
        <f>IF(ISNUMBER(STDEV(G8:G18)),STDEV(G8:G18),"-")</f>
        <v>864.48956037652647</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173.51986300462221</v>
      </c>
      <c r="AK21" s="256"/>
      <c r="AL21" s="256">
        <f>IF(ISNUMBER(STDEV(AL8:AL18)),STDEV(AL8:AL18),"-")</f>
        <v>0</v>
      </c>
      <c r="AM21" s="258">
        <f>IF(ISNUMBER(STDEV(AM8:AM18)),STDEV(AM8:AM18),"-")</f>
        <v>0</v>
      </c>
      <c r="AN21" s="586">
        <f>IF(ISNUMBER(STDEV(AN8:AN18)),STDEV(AN8:AN18),"-")</f>
        <v>0</v>
      </c>
      <c r="AO21" s="587">
        <f>IF(ISNUMBER(STDEV(AO8:AO18)),STDEV(AO8:AO18),"-")</f>
        <v>2.6751147526219761</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PCNjOwQugbDgueyXnd2/BxOAQjv8vr3aDYSRtFvrrrmEP6/CKcGzCmW8uXCWbmOFhbzMPE8vnMlHvuFZq/XN+A==" saltValue="CmtZihY3bKSwPQ2HXBwsh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kYN/qX4s578oi7S/Xbk3dYeeXwX2OBrlE7xYGcMNQ+6jMSrBciIdS+H1Ht6qvAsH8JTvrZn1/KPYjcHR3GHVaw==" saltValue="mTrnL9AeuQub1jGSdGcYG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By1uwmcexxdZ11KH58y7dK0wC+HZeho7z55uVebCBZ54OjdZLv+Cx0EaZmoIpEx0gP0e/z2UcVFe7QZrDHRUGw==" saltValue="onHPo4gLqYtMSXV0AuCDO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COMUNIDAD VALENCIANA</v>
      </c>
      <c r="F1" s="752"/>
    </row>
    <row r="2" spans="1:75" ht="16.5" customHeight="1">
      <c r="C2" s="520" t="str">
        <f>Criterios!A10 &amp;"  "&amp;Criterios!B10 &amp; "  " &amp; IF(NOT(ISBLANK(Criterios!A11)),Criterios!A11 &amp;"  "&amp;Criterios!B11,"")</f>
        <v>Provincias  VALENCIA  Resumenes por Partidos Judiciales  GANDIA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0.16126042632066728</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0.11402834098837746</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0r9aciXoPoqAWt4LYqZtThR/vzQ3QGZ/d5uOYGyoyxwGhYxlWHRZt6ercp4xAtGzG0/fW1aM4y99Unc4q5jMsw==" saltValue="6EZh3lIqmFN+QzSWxuMpk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P2uzQFG3zaJ412MUkLruf3FtiMq2Suk3ZpIGVmBRlIAh544fZtAC4p4lsqN2vNTFnZ+5N+MhW0YLTn/P5YXr+w==" saltValue="wC23fh7Z26pNC3jqaupb/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COMUNIDAD VALENCIANA</v>
      </c>
      <c r="C2" s="399"/>
      <c r="D2" s="399"/>
      <c r="E2" s="399"/>
      <c r="F2" s="399"/>
    </row>
    <row r="3" spans="1:14" ht="19.5">
      <c r="A3" s="401" t="s">
        <v>115</v>
      </c>
      <c r="B3" s="402" t="str">
        <f>Criterios!A10 &amp;"  "&amp;Criterios!B10</f>
        <v>Provincias  VALENCIA</v>
      </c>
      <c r="D3" s="399"/>
      <c r="E3" s="399"/>
      <c r="F3" s="399"/>
    </row>
    <row r="4" spans="1:14" ht="13.5" thickBot="1">
      <c r="A4" s="399"/>
      <c r="B4" s="402" t="str">
        <f>Criterios!A11 &amp;"  "&amp;Criterios!B11</f>
        <v>Resumenes por Partidos Judiciales  GANDIA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6</v>
      </c>
      <c r="C9" s="414">
        <f>IF(ISNUMBER(IF(J_V="SI",Datos!I9,Datos!I9+Datos!Y9)),IF(J_V="SI",Datos!I9,Datos!I9+Datos!Y9)," - ")</f>
        <v>4557</v>
      </c>
      <c r="D9" s="415">
        <f>IF(ISNUMBER(C9/Datos!BH9),C9/Datos!BH9," - ")</f>
        <v>759.5</v>
      </c>
      <c r="E9" s="414">
        <f>IF(ISNUMBER(IF(J_V="SI",Datos!J9,Datos!J9+Datos!Z9)),IF(J_V="SI",Datos!J9,Datos!J9+Datos!Z9)," - ")</f>
        <v>2283</v>
      </c>
      <c r="F9" s="415">
        <f>IF(ISNUMBER(E9/B9),E9/B9," - ")</f>
        <v>380.5</v>
      </c>
      <c r="G9" s="414">
        <f>IF(ISNUMBER(IF(J_V="SI",Datos!K9,Datos!K9+Datos!AA9)),IF(J_V="SI",Datos!K9,Datos!K9+Datos!AA9)," - ")</f>
        <v>2136</v>
      </c>
      <c r="H9" s="415">
        <f>IF(ISNUMBER(G9/B9),G9/B9," - ")</f>
        <v>356</v>
      </c>
      <c r="I9" s="414">
        <f>IF(ISNUMBER(IF(J_V="SI",Datos!L9,Datos!L9+Datos!AB9)),IF(J_V="SI",Datos!L9,Datos!L9+Datos!AB9)," - ")</f>
        <v>4704</v>
      </c>
      <c r="J9" s="415">
        <f>IF(ISNUMBER(I9/B9),I9/B9," - ")</f>
        <v>784</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91</v>
      </c>
      <c r="D10" s="415">
        <f>IF(ISNUMBER(C10/Datos!BH10),C10/Datos!BH10," - ")</f>
        <v>91</v>
      </c>
      <c r="E10" s="414">
        <f>IF(ISNUMBER(Datos!J10),Datos!J10," - ")</f>
        <v>22</v>
      </c>
      <c r="F10" s="415">
        <f>IF(ISNUMBER(E10/B10),E10/B10," - ")</f>
        <v>22</v>
      </c>
      <c r="G10" s="414">
        <f>IF(ISNUMBER(Datos!K10),Datos!K10," - ")</f>
        <v>22</v>
      </c>
      <c r="H10" s="415">
        <f>IF(ISNUMBER(G10/B10),G10/B10," - ")</f>
        <v>22</v>
      </c>
      <c r="I10" s="414">
        <f>IF(ISNUMBER(Datos!L10),Datos!L10," - ")</f>
        <v>91</v>
      </c>
      <c r="J10" s="415">
        <f>IF(ISNUMBER(I10/B10),I10/B10," - ")</f>
        <v>91</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f>IF(ISNUMBER(IF(J_V="SI",Datos!I12,Datos!I12+Datos!Y12)),IF(J_V="SI",Datos!I12,Datos!I12+Datos!Y12)," - ")</f>
        <v>0</v>
      </c>
      <c r="D12" s="415" t="str">
        <f>IF(ISNUMBER(C12/Datos!BH12),C12/Datos!BH12," - ")</f>
        <v xml:space="preserve"> - </v>
      </c>
      <c r="E12" s="414">
        <f>IF(ISNUMBER(IF(J_V="SI",Datos!J12,Datos!J12+Datos!Z12)),IF(J_V="SI",Datos!J12,Datos!J12+Datos!Z12)," - ")</f>
        <v>0</v>
      </c>
      <c r="F12" s="415" t="str">
        <f>IF(ISNUMBER(E12/B12),E12/B12," - ")</f>
        <v xml:space="preserve"> - </v>
      </c>
      <c r="G12" s="414">
        <f>IF(ISNUMBER(IF(J_V="SI",Datos!K12,Datos!K12+Datos!AA12)),IF(J_V="SI",Datos!K12,Datos!K12+Datos!AA12)," - ")</f>
        <v>0</v>
      </c>
      <c r="H12" s="415" t="str">
        <f>IF(ISNUMBER(G12/B12),G12/B12," - ")</f>
        <v xml:space="preserve"> - </v>
      </c>
      <c r="I12" s="414">
        <f>IF(ISNUMBER(IF(J_V="SI",Datos!L12,Datos!L12+Datos!AB12)),IF(J_V="SI",Datos!L12,Datos!L12+Datos!AB12)," - ")</f>
        <v>0</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7</v>
      </c>
      <c r="C13" s="995">
        <f>SUBTOTAL(9,C8:C12)</f>
        <v>4648</v>
      </c>
      <c r="D13" s="996" t="str">
        <f>IF(ISNUMBER(C13/Datos!BI13),C13/Datos!BI13," - ")</f>
        <v xml:space="preserve"> - </v>
      </c>
      <c r="E13" s="995">
        <f>SUBTOTAL(9,E8:E12)</f>
        <v>2305</v>
      </c>
      <c r="F13" s="996">
        <f>IF(ISNUMBER(E13/B13),E13/B13," - ")</f>
        <v>329.28571428571428</v>
      </c>
      <c r="G13" s="995">
        <f>SUBTOTAL(9,G8:G12)</f>
        <v>2158</v>
      </c>
      <c r="H13" s="996">
        <f>IF(ISNUMBER(G13/B13),G13/B13," - ")</f>
        <v>308.28571428571428</v>
      </c>
      <c r="I13" s="995">
        <f>SUBTOTAL(9,I8:I12)</f>
        <v>4795</v>
      </c>
      <c r="J13" s="996">
        <f>IF(ISNUMBER(I13/B13),I13/B13," - ")</f>
        <v>685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3</v>
      </c>
      <c r="C15" s="414">
        <f>IF(ISNUMBER(IF(D_I="SI",Datos!I15,Datos!I15+Datos!AC15)),IF(D_I="SI",Datos!I15,Datos!I15+Datos!AC15)," - ")</f>
        <v>1621</v>
      </c>
      <c r="D15" s="415">
        <f>IF(ISNUMBER(C15/Datos!BH15),C15/Datos!BH15," - ")</f>
        <v>540.33333333333337</v>
      </c>
      <c r="E15" s="414">
        <f>IF(ISNUMBER(IF(D_I="SI",Datos!J15,Datos!J15+Datos!AD15)),IF(D_I="SI",Datos!J15,Datos!J15+Datos!AD15)," - ")</f>
        <v>2129</v>
      </c>
      <c r="F15" s="415">
        <f>IF(ISNUMBER(E15/B15),E15/B15," - ")</f>
        <v>709.66666666666663</v>
      </c>
      <c r="G15" s="414">
        <f>IF(ISNUMBER(IF(D_I="SI",Datos!K15,Datos!K15+Datos!AE15)),IF(D_I="SI",Datos!K15,Datos!K15+Datos!AE15)," - ")</f>
        <v>1849</v>
      </c>
      <c r="H15" s="415">
        <f>IF(ISNUMBER(G15/B15),G15/B15," - ")</f>
        <v>616.33333333333337</v>
      </c>
      <c r="I15" s="414">
        <f>IF(ISNUMBER(IF(D_I="SI",Datos!L15,Datos!L15+Datos!AF15)),IF(D_I="SI",Datos!L15,Datos!L15+Datos!AF15)," - ")</f>
        <v>1931</v>
      </c>
      <c r="J15" s="415">
        <f>IF(ISNUMBER(I15/B15),I15/B15," - ")</f>
        <v>643.66666666666663</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t="str">
        <f>IF(ISNUMBER(IF(D_I="SI",Datos!I16,Datos!I16+Datos!AC16)),IF(D_I="SI",Datos!I16,Datos!I16+Datos!AC16)," - ")</f>
        <v xml:space="preserve"> - </v>
      </c>
      <c r="D16" s="415" t="str">
        <f>IF(ISNUMBER(C16/Datos!BH16),C16/Datos!BH16," - ")</f>
        <v xml:space="preserve"> - </v>
      </c>
      <c r="E16" s="414" t="str">
        <f>IF(ISNUMBER(IF(D_I="SI",Datos!J16,Datos!J16+Datos!AD16)),IF(D_I="SI",Datos!J16,Datos!J16+Datos!AD16)," - ")</f>
        <v xml:space="preserve"> - </v>
      </c>
      <c r="F16" s="415" t="str">
        <f>IF(ISNUMBER(E16/B16),E16/B16," - ")</f>
        <v xml:space="preserve"> - </v>
      </c>
      <c r="G16" s="414" t="str">
        <f>IF(ISNUMBER(IF(D_I="SI",Datos!K16,Datos!K16+Datos!AE16)),IF(D_I="SI",Datos!K16,Datos!K16+Datos!AE16)," - ")</f>
        <v xml:space="preserve"> - </v>
      </c>
      <c r="H16" s="415" t="str">
        <f>IF(ISNUMBER(G16/B16),G16/B16," - ")</f>
        <v xml:space="preserve"> - </v>
      </c>
      <c r="I16" s="414" t="str">
        <f>IF(ISNUMBER(IF(D_I="SI",Datos!L16,Datos!L16+Datos!AF16)),IF(D_I="SI",Datos!L16,Datos!L16+Datos!AF16)," - ")</f>
        <v xml:space="preserve"> - </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100</v>
      </c>
      <c r="D17" s="415">
        <f>IF(ISNUMBER(C17/Datos!BH17),C17/Datos!BH17," - ")</f>
        <v>100</v>
      </c>
      <c r="E17" s="414">
        <f>IF(ISNUMBER(IF(D_I="SI",Datos!J17,Datos!J17+Datos!AD17)),IF(D_I="SI",Datos!J17,Datos!J17+Datos!AD17)," - ")</f>
        <v>253</v>
      </c>
      <c r="F17" s="415">
        <f>IF(ISNUMBER(E17/B17),E17/B17," - ")</f>
        <v>253</v>
      </c>
      <c r="G17" s="414">
        <f>IF(ISNUMBER(IF(D_I="SI",Datos!K17,Datos!K17+Datos!AE17)),IF(D_I="SI",Datos!K17,Datos!K17+Datos!AE17)," - ")</f>
        <v>248</v>
      </c>
      <c r="H17" s="415">
        <f>IF(ISNUMBER(G17/B17),G17/B17," - ")</f>
        <v>248</v>
      </c>
      <c r="I17" s="414">
        <f>IF(ISNUMBER(IF(D_I="SI",Datos!L17,Datos!L17+Datos!AF17)),IF(D_I="SI",Datos!L17,Datos!L17+Datos!AF17)," - ")</f>
        <v>105</v>
      </c>
      <c r="J17" s="415">
        <f>IF(ISNUMBER(I17/B17),I17/B17," - ")</f>
        <v>105</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4</v>
      </c>
      <c r="C18" s="995">
        <f>SUBTOTAL(9,C14:C17)</f>
        <v>1721</v>
      </c>
      <c r="D18" s="996" t="str">
        <f>IF(ISNUMBER(C18/Datos!BI18),C18/Datos!BI18," - ")</f>
        <v xml:space="preserve"> - </v>
      </c>
      <c r="E18" s="995">
        <f>SUBTOTAL(9,E14:E17)</f>
        <v>2382</v>
      </c>
      <c r="F18" s="996">
        <f>IF(ISNUMBER(E18/B18),E18/B18," - ")</f>
        <v>595.5</v>
      </c>
      <c r="G18" s="995">
        <f>SUBTOTAL(9,G14:G17)</f>
        <v>2097</v>
      </c>
      <c r="H18" s="996">
        <f>IF(ISNUMBER(G18/B18),G18/B18," - ")</f>
        <v>524.25</v>
      </c>
      <c r="I18" s="995">
        <f>SUBTOTAL(9,I14:I17)</f>
        <v>2036</v>
      </c>
      <c r="J18" s="996">
        <f>IF(ISNUMBER(I18/B18),I18/B18," - ")</f>
        <v>509</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10</v>
      </c>
      <c r="C19" s="940">
        <f>SUBTOTAL(9,C9:C18)</f>
        <v>6369</v>
      </c>
      <c r="D19" s="941" t="str">
        <f>IF(ISNUMBER(C19/Datos!BI19),C19/Datos!BI19," - ")</f>
        <v xml:space="preserve"> - </v>
      </c>
      <c r="E19" s="940">
        <f>SUBTOTAL(9,E9:E18)</f>
        <v>4687</v>
      </c>
      <c r="F19" s="941">
        <f>IF(ISNUMBER(E19/B19),E19/B19," - ")</f>
        <v>468.7</v>
      </c>
      <c r="G19" s="940">
        <f>SUBTOTAL(9,G9:G18)</f>
        <v>4255</v>
      </c>
      <c r="H19" s="941">
        <f>IF(ISNUMBER(G19/B19),G19/B19," - ")</f>
        <v>425.5</v>
      </c>
      <c r="I19" s="940">
        <f>SUBTOTAL(9,I9:I18)</f>
        <v>6831</v>
      </c>
      <c r="J19" s="941">
        <f>IF(ISNUMBER(I19/B19),I19/B19," - ")</f>
        <v>683.1</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CKvePsMyAkNTSoltba18eogPteFcvTkDxtcTM/0q0j8/CY4gRB11fLWFrWW7eiRuKjcNGuFIo0qq89ph5aQcEw==" saltValue="XrWVXbiJB7D13AzgDVTzI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COMUNIDAD VALENCIANA</v>
      </c>
      <c r="F1" s="752"/>
      <c r="W1"/>
      <c r="X1"/>
      <c r="BE1" s="752"/>
    </row>
    <row r="2" spans="1:65" ht="16.5" customHeight="1">
      <c r="C2" s="520" t="str">
        <f>Criterios!A10 &amp;"  "&amp;Criterios!B10 &amp; "  " &amp; IF(NOT(ISBLANK(Criterios!A11)),Criterios!A11 &amp;"  "&amp;Criterios!B11,"")</f>
        <v>Provincias  VALENCIA  Resumenes por Partidos Judiciales  GANDIA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6</v>
      </c>
      <c r="B9" s="652" t="s">
        <v>249</v>
      </c>
      <c r="C9" s="670" t="str">
        <f>Datos!A9</f>
        <v xml:space="preserve">Jdos. 1ª Instancia   </v>
      </c>
      <c r="D9" s="543"/>
      <c r="E9" s="800">
        <f>IF(ISNUMBER(Datos!AQ9),Datos!AQ9," - ")</f>
        <v>6</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1</v>
      </c>
      <c r="F10" s="801">
        <f>IF(ISNUMBER(Datos!L10+Datos!K10-Datos!J10),Datos!L10+Datos!K10-Datos!J10," - ")</f>
        <v>91</v>
      </c>
      <c r="G10" s="802">
        <f>IF(ISNUMBER(Datos!I10),Datos!I10," - ")</f>
        <v>91</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7</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22</v>
      </c>
      <c r="AC10" s="801" t="str">
        <f>IF(ISNUMBER(IF(D_I="SI",DatosP!K17,DatosP!K17+DatosP!AE17)),IF(D_I="SI",DatosP!K17,DatosP!K17+DatosP!AE17)," - ")</f>
        <v xml:space="preserve"> - </v>
      </c>
      <c r="AD10" s="803"/>
      <c r="AE10" s="803"/>
      <c r="AF10" s="806">
        <f>IF(ISNUMBER(Datos!L10),Datos!L10,"-")</f>
        <v>91</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11</v>
      </c>
      <c r="AM10" s="810">
        <f>IF(ISNUMBER(Datos!N10+DatosP!N17),Datos!N10+DatosP!N17," - ")</f>
        <v>8</v>
      </c>
      <c r="AN10" s="810">
        <f>IF(ISNUMBER(Datos!BW10+DatosP!BW17),Datos!BW10+DatosP!BW17," - ")</f>
        <v>0</v>
      </c>
      <c r="AO10" s="811">
        <f>IF(ISNUMBER(Datos!BX10+DatosP!BX17),Datos!BX10+DatosP!BX17," - ")</f>
        <v>0</v>
      </c>
      <c r="AP10" s="813">
        <f>IF(ISNUMBER(((Datos!L10/Datos!K10)*11)/factor_trimestre),((Datos!L10/Datos!K10)*11)/factor_trimestre," - ")</f>
        <v>8.2727272727272734</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3</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278</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0</v>
      </c>
      <c r="AM12" s="810">
        <f>IF(ISNUMBER(Datos!N12+DatosP!N16),Datos!N12+DatosP!N16," - ")</f>
        <v>0</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-1.0676156583629894E-2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7</v>
      </c>
      <c r="F13" s="1084">
        <f t="shared" si="0"/>
        <v>91</v>
      </c>
      <c r="G13" s="1084">
        <f t="shared" si="0"/>
        <v>91</v>
      </c>
      <c r="H13" s="1084">
        <f t="shared" si="0"/>
        <v>0</v>
      </c>
      <c r="I13" s="1086">
        <f t="shared" si="0"/>
        <v>0</v>
      </c>
      <c r="J13" s="1085">
        <f t="shared" si="0"/>
        <v>0</v>
      </c>
      <c r="K13" s="1085">
        <f t="shared" si="0"/>
        <v>0</v>
      </c>
      <c r="L13" s="1087">
        <f t="shared" si="0"/>
        <v>0</v>
      </c>
      <c r="M13" s="1087">
        <f t="shared" si="0"/>
        <v>0</v>
      </c>
      <c r="N13" s="1085">
        <f t="shared" si="0"/>
        <v>7</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22</v>
      </c>
      <c r="AC13" s="1085">
        <f t="shared" si="1"/>
        <v>0</v>
      </c>
      <c r="AD13" s="1085">
        <f t="shared" si="1"/>
        <v>3</v>
      </c>
      <c r="AE13" s="1085">
        <f t="shared" si="1"/>
        <v>0</v>
      </c>
      <c r="AF13" s="1085">
        <f t="shared" si="1"/>
        <v>91</v>
      </c>
      <c r="AG13" s="1085">
        <f t="shared" si="1"/>
        <v>0</v>
      </c>
      <c r="AH13" s="1085">
        <f t="shared" si="1"/>
        <v>278</v>
      </c>
      <c r="AI13" s="1085">
        <f t="shared" si="1"/>
        <v>0</v>
      </c>
      <c r="AJ13" s="1085">
        <f t="shared" si="1"/>
        <v>0</v>
      </c>
      <c r="AK13" s="1085">
        <f t="shared" si="1"/>
        <v>0</v>
      </c>
      <c r="AL13" s="1085">
        <f t="shared" si="1"/>
        <v>11</v>
      </c>
      <c r="AM13" s="1085">
        <f t="shared" si="1"/>
        <v>8</v>
      </c>
      <c r="AN13" s="1085">
        <f t="shared" si="1"/>
        <v>0</v>
      </c>
      <c r="AO13" s="1085">
        <f t="shared" si="1"/>
        <v>0</v>
      </c>
      <c r="AP13" s="1090">
        <f>IF(ISNUMBER(((Datos!L13/Datos!K13)*11)/factor_trimestre),((Datos!L13/Datos!K13)*11)/factor_trimestre," - ")</f>
        <v>4.6090035407182599</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-0.24175824175824176</v>
      </c>
      <c r="AU13" s="1085" t="str">
        <f>IF(ISNUMBER((DatosP!#REF!-DatosP!#REF!+DatosP!#REF!)/(DatosP!#REF!+DatosP!#REF!-DatosP!#REF!-DatosP!#REF!)),(DatosP!#REF!-DatosP!#REF!+DatosP!#REF!)/(DatosP!#REF!+DatosP!#REF!-DatosP!#REF!-DatosP!#REF!)," - ")</f>
        <v xml:space="preserve"> - </v>
      </c>
      <c r="AV13" s="1091">
        <f>SUBTOTAL(9,AV9:AV12)</f>
        <v>-1.0676156583629894E-2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3</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1.9418216499761565</v>
      </c>
      <c r="AQ18" s="1090">
        <f>IF(ISNUMBER(((Datos!M18/Datos!L18)*11)/factor_trimestre),((Datos!M18/Datos!L18)*11)/factor_trimestre," - ")</f>
        <v>0.37033398821218078</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-3.2171581769436998E-2</v>
      </c>
      <c r="AW18" s="1092">
        <f>IF(ISNUMBER((Datos!Q18-Datos!R18)/(Datos!S18-Datos!Q18+Datos!R18)),(Datos!Q18-Datos!R18)/(Datos!S18-Datos!Q18+Datos!R18)," - ")</f>
        <v>-0.1698867421718854</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7</v>
      </c>
      <c r="F19" s="1097">
        <f t="shared" si="4"/>
        <v>91</v>
      </c>
      <c r="G19" s="1097">
        <f t="shared" si="4"/>
        <v>91</v>
      </c>
      <c r="H19" s="1097">
        <f t="shared" si="4"/>
        <v>0</v>
      </c>
      <c r="I19" s="1098">
        <f t="shared" si="4"/>
        <v>0</v>
      </c>
      <c r="J19" s="1099">
        <f t="shared" si="4"/>
        <v>0</v>
      </c>
      <c r="K19" s="1099">
        <f t="shared" si="4"/>
        <v>0</v>
      </c>
      <c r="L19" s="1099">
        <f t="shared" si="4"/>
        <v>0</v>
      </c>
      <c r="M19" s="1099">
        <f t="shared" si="4"/>
        <v>0</v>
      </c>
      <c r="N19" s="1098">
        <f t="shared" si="4"/>
        <v>7</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22</v>
      </c>
      <c r="AC19" s="1103">
        <f t="shared" si="5"/>
        <v>0</v>
      </c>
      <c r="AD19" s="1103">
        <f t="shared" si="5"/>
        <v>3</v>
      </c>
      <c r="AE19" s="1103">
        <f t="shared" si="5"/>
        <v>0</v>
      </c>
      <c r="AF19" s="1104">
        <f t="shared" si="5"/>
        <v>91</v>
      </c>
      <c r="AG19" s="1104">
        <f t="shared" si="5"/>
        <v>0</v>
      </c>
      <c r="AH19" s="1104">
        <f t="shared" si="5"/>
        <v>278</v>
      </c>
      <c r="AI19" s="1104">
        <f t="shared" si="5"/>
        <v>0</v>
      </c>
      <c r="AJ19" s="1105">
        <f t="shared" si="5"/>
        <v>0</v>
      </c>
      <c r="AK19" s="1105">
        <f t="shared" si="5"/>
        <v>0</v>
      </c>
      <c r="AL19" s="1097">
        <f t="shared" si="5"/>
        <v>11</v>
      </c>
      <c r="AM19" s="1097">
        <f t="shared" si="5"/>
        <v>8</v>
      </c>
      <c r="AN19" s="1097">
        <f t="shared" si="5"/>
        <v>0</v>
      </c>
      <c r="AO19" s="1097">
        <f t="shared" si="5"/>
        <v>0</v>
      </c>
      <c r="AP19" s="1097">
        <f>IF(ISNUMBER(((Datos!L19/Datos!K19)*11)/factor_trimestre),((Datos!L19/Datos!K19)*11)/factor_trimestre," - ")</f>
        <v>3.2361315660284733</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-0.24175824175824176</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2.3874488403819918E-3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60.666666666666664</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3.2659863237109041</v>
      </c>
      <c r="F21" s="869">
        <f>IF(ISNUMBER(STDEV(F8:F18)),STDEV(F8:F18),"-")</f>
        <v>52.538874496255943</v>
      </c>
      <c r="G21" s="870">
        <f>IF(ISNUMBER(STDEV(G8:G18)),STDEV(G8:G18),"-")</f>
        <v>52.538874496255943</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12.701705922171765</v>
      </c>
      <c r="AC21" s="871">
        <f>IF(ISNUMBER(STDEV(AC8:AC18)),STDEV(AC8:AC18),"-")</f>
        <v>0</v>
      </c>
      <c r="AD21" s="874"/>
      <c r="AE21" s="874"/>
      <c r="AF21" s="874"/>
      <c r="AG21" s="874"/>
      <c r="AH21" s="874"/>
      <c r="AI21" s="874"/>
      <c r="AJ21" s="875">
        <f>IF(ISNUMBER(STDEV(AJ8:AJ18)),STDEV(AJ8:AJ18),"-")</f>
        <v>0</v>
      </c>
      <c r="AK21" s="877"/>
      <c r="AL21" s="869">
        <f>IF(ISNUMBER(STDEV(AL8:AL18)),STDEV(AL8:AL18),"-")</f>
        <v>6.3508529610858835</v>
      </c>
      <c r="AM21" s="869"/>
      <c r="AN21" s="869">
        <f>IF(ISNUMBER(STDEV(AN8:AN18)),STDEV(AN8:AN18),"-")</f>
        <v>0</v>
      </c>
      <c r="AO21" s="875">
        <f>IF(ISNUMBER(STDEV(AO8:AO18)),STDEV(AO8:AO18),"-")</f>
        <v>0</v>
      </c>
      <c r="AP21" s="922">
        <f>IF(ISNUMBER(STDEV(AP8:AP18)),STDEV(AP8:AP18),"-")</f>
        <v>3.1784979897998582</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73MaaLrzytiSEE7LNQu2pIgQbQHKZLYnJT/dQdBnxa5fe/4weCkl5z8gPvKU+xRnpQeU7ciYQzcTln9Nh51Q2w==" saltValue="lQMvjAk5/TV0hVg/A3wlf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COMUNIDAD VALENCIANA</v>
      </c>
      <c r="C2" s="399"/>
      <c r="E2" s="399"/>
      <c r="F2" s="399"/>
      <c r="G2" s="399"/>
      <c r="H2" s="399"/>
    </row>
    <row r="3" spans="1:15" ht="39">
      <c r="A3" s="426" t="s">
        <v>221</v>
      </c>
      <c r="B3" s="402" t="str">
        <f>Criterios!A10 &amp;"  "&amp;Criterios!B10</f>
        <v>Provincias  VALENCIA</v>
      </c>
      <c r="C3" s="426"/>
      <c r="F3" s="399"/>
      <c r="G3" s="399"/>
      <c r="H3" s="399"/>
    </row>
    <row r="4" spans="1:15" ht="13.5" thickBot="1">
      <c r="A4" s="399"/>
      <c r="B4" s="402" t="str">
        <f>Criterios!A11 &amp;"  "&amp;Criterios!B11</f>
        <v>Resumenes por Partidos Judiciales  GANDIA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6</v>
      </c>
      <c r="D9" s="414">
        <f>Datos!BK9</f>
        <v>0</v>
      </c>
      <c r="E9" s="414">
        <f>Datos!AQ9</f>
        <v>6</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1</v>
      </c>
      <c r="D10" s="414">
        <f>Datos!BK10</f>
        <v>0</v>
      </c>
      <c r="E10" s="414">
        <f>Datos!AQ10</f>
        <v>1</v>
      </c>
      <c r="F10" s="415">
        <f>IF(ISNUMBER(E10/Datos!BH10),E10/Datos!BH10," - ")</f>
        <v>1</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3</v>
      </c>
      <c r="D15" s="414">
        <f>Datos!BK15</f>
        <v>0</v>
      </c>
      <c r="E15" s="414">
        <f>Datos!AQ15</f>
        <v>3</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1</v>
      </c>
      <c r="D17" s="414">
        <f>Datos!BK17</f>
        <v>0</v>
      </c>
      <c r="E17" s="414">
        <f>Datos!AQ17</f>
        <v>1</v>
      </c>
      <c r="F17" s="415">
        <f>IF(ISNUMBER(E17/Datos!BH17),E17/Datos!BH17," - ")</f>
        <v>1</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u1dd6MSQ4hAPaW2SvlCbGXclXmLkNxMB0EN6jjiAI88/1JSZPwpgUdc8zvz3b7/ZYkFs60rR8zzJ+Z0+QNlMqA==" saltValue="B4xdClmxmB2SwfHgHljAh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COMUNIDAD VALENCIANA</v>
      </c>
      <c r="C2" s="438"/>
      <c r="D2" s="381"/>
    </row>
    <row r="3" spans="1:9" ht="19.5">
      <c r="A3" s="439" t="s">
        <v>11</v>
      </c>
      <c r="B3" s="440" t="str">
        <f>Criterios!A10 &amp;"  "&amp;Criterios!B10</f>
        <v>Provincias  VALENCIA</v>
      </c>
      <c r="C3" s="438"/>
      <c r="D3" s="439"/>
    </row>
    <row r="4" spans="1:9" ht="13.5" thickBot="1">
      <c r="B4" s="440" t="str">
        <f>Criterios!A11 &amp;"  "&amp;Criterios!B11</f>
        <v>Resumenes por Partidos Judiciales  GANDIA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6</v>
      </c>
      <c r="C9" s="421">
        <f>Datos!AQ9</f>
        <v>6</v>
      </c>
      <c r="D9" s="414">
        <f>IF(ISNUMBER(Datos!M9),Datos!M9," - ")</f>
        <v>337</v>
      </c>
      <c r="E9" s="415">
        <f t="shared" ref="E9:E13" si="0">IF(ISNUMBER(D9/B9),D9/B9," - ")</f>
        <v>56.166666666666664</v>
      </c>
      <c r="F9" s="414">
        <f>IF(ISNUMBER(Datos!N9),Datos!N9," - ")</f>
        <v>773</v>
      </c>
      <c r="G9" s="415">
        <f t="shared" ref="G9:G13" si="1">IF(ISNUMBER(F9/B9),F9/B9," - ")</f>
        <v>128.83333333333334</v>
      </c>
      <c r="H9" s="414">
        <f>IF(ISNUMBER(Datos!O9),Datos!O9," - ")</f>
        <v>1370</v>
      </c>
      <c r="I9" s="415">
        <f>IF(ISNUMBER(H9/B9),H9/B9," - ")</f>
        <v>228.33333333333334</v>
      </c>
    </row>
    <row r="10" spans="1:9">
      <c r="A10" s="413" t="str">
        <f>Datos!A10</f>
        <v>Jdos. Violencia contra la mujer</v>
      </c>
      <c r="B10" s="443">
        <f>Datos!AO10</f>
        <v>1</v>
      </c>
      <c r="C10" s="421">
        <f>Datos!AQ10</f>
        <v>1</v>
      </c>
      <c r="D10" s="414">
        <f>IF(ISNUMBER(Datos!M10),Datos!M10," - ")</f>
        <v>11</v>
      </c>
      <c r="E10" s="415">
        <f>IF(ISNUMBER(D10/B10),D10/B10," - ")</f>
        <v>11</v>
      </c>
      <c r="F10" s="414">
        <f>IF(ISNUMBER(Datos!N10),Datos!N10," - ")</f>
        <v>8</v>
      </c>
      <c r="G10" s="415">
        <f>IF(ISNUMBER(F10/B10),F10/B10," - ")</f>
        <v>8</v>
      </c>
      <c r="H10" s="414">
        <f>IF(ISNUMBER(Datos!O10),Datos!O10," - ")</f>
        <v>7</v>
      </c>
      <c r="I10" s="415">
        <f t="shared" ref="I10:I12" si="2">IF(ISNUMBER(H10/B10),H10/B10," - ")</f>
        <v>7</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0</v>
      </c>
      <c r="C12" s="421">
        <f>Datos!AQ12</f>
        <v>0</v>
      </c>
      <c r="D12" s="414">
        <f>IF(ISNUMBER(Datos!M12),Datos!M12," - ")</f>
        <v>0</v>
      </c>
      <c r="E12" s="415" t="str">
        <f t="shared" si="0"/>
        <v xml:space="preserve"> - </v>
      </c>
      <c r="F12" s="414">
        <f>IF(ISNUMBER(Datos!N12),Datos!N12," - ")</f>
        <v>0</v>
      </c>
      <c r="G12" s="415" t="str">
        <f t="shared" si="1"/>
        <v xml:space="preserve"> - </v>
      </c>
      <c r="H12" s="414">
        <f>IF(ISNUMBER(Datos!O12),Datos!O12," - ")</f>
        <v>0</v>
      </c>
      <c r="I12" s="415" t="str">
        <f t="shared" si="2"/>
        <v xml:space="preserve"> - </v>
      </c>
    </row>
    <row r="13" spans="1:9" ht="14.25" thickTop="1" thickBot="1">
      <c r="A13" s="994" t="str">
        <f>Datos!A13</f>
        <v>TOTAL</v>
      </c>
      <c r="B13" s="995">
        <f>Datos!AO13</f>
        <v>7</v>
      </c>
      <c r="C13" s="997">
        <f>Datos!AR13</f>
        <v>7</v>
      </c>
      <c r="D13" s="995">
        <f>SUBTOTAL(9,D9:D12)</f>
        <v>348</v>
      </c>
      <c r="E13" s="996">
        <f t="shared" si="0"/>
        <v>49.714285714285715</v>
      </c>
      <c r="F13" s="995">
        <f>SUBTOTAL(9,F9:F12)</f>
        <v>781</v>
      </c>
      <c r="G13" s="996">
        <f t="shared" si="1"/>
        <v>111.57142857142857</v>
      </c>
      <c r="H13" s="995">
        <f>SUBTOTAL(9,H9:H12)</f>
        <v>1377</v>
      </c>
      <c r="I13" s="996">
        <f>IF(ISNUMBER(H13/B13),H13/B13," - ")</f>
        <v>196.71428571428572</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3</v>
      </c>
      <c r="C15" s="444">
        <f>Datos!AQ15</f>
        <v>3</v>
      </c>
      <c r="D15" s="414">
        <f>IF(ISNUMBER(Datos!M15),Datos!M15," - ")</f>
        <v>317</v>
      </c>
      <c r="E15" s="415">
        <f t="shared" ref="E15:E18" si="3">IF(ISNUMBER(D15/B15),D15/B15," - ")</f>
        <v>105.66666666666667</v>
      </c>
      <c r="F15" s="414">
        <f>IF(ISNUMBER(Datos!N15),Datos!N15," - ")</f>
        <v>1046</v>
      </c>
      <c r="G15" s="415">
        <f t="shared" ref="G15:G18" si="4">IF(ISNUMBER(F15/B15),F15/B15," - ")</f>
        <v>348.66666666666669</v>
      </c>
      <c r="H15" s="414">
        <f>IF(ISNUMBER(Datos!O15),Datos!O15," - ")</f>
        <v>71</v>
      </c>
      <c r="I15" s="415">
        <f t="shared" ref="I15:I17" si="5">IF(ISNUMBER(H15/B15),H15/B15," - ")</f>
        <v>23.666666666666668</v>
      </c>
    </row>
    <row r="16" spans="1:9">
      <c r="A16" s="413" t="str">
        <f>Datos!A16</f>
        <v xml:space="preserve">Jdos. 1ª Instª. e Instr.                        </v>
      </c>
      <c r="B16" s="443">
        <f>Datos!AO16</f>
        <v>0</v>
      </c>
      <c r="C16" s="444">
        <f>Datos!AQ16</f>
        <v>0</v>
      </c>
      <c r="D16" s="414" t="str">
        <f>IF(ISNUMBER(Datos!M16),Datos!M16," - ")</f>
        <v xml:space="preserve"> - </v>
      </c>
      <c r="E16" s="415" t="str">
        <f t="shared" si="3"/>
        <v xml:space="preserve"> - </v>
      </c>
      <c r="F16" s="414" t="str">
        <f>IF(ISNUMBER(Datos!N16),Datos!N16," - ")</f>
        <v xml:space="preserve"> - </v>
      </c>
      <c r="G16" s="415" t="str">
        <f t="shared" si="4"/>
        <v xml:space="preserve"> - </v>
      </c>
      <c r="H16" s="414" t="str">
        <f>IF(ISNUMBER(Datos!O16),Datos!O16," - ")</f>
        <v xml:space="preserve"> - </v>
      </c>
      <c r="I16" s="415" t="str">
        <f t="shared" si="5"/>
        <v xml:space="preserve"> - </v>
      </c>
    </row>
    <row r="17" spans="1:9" ht="13.5" thickBot="1">
      <c r="A17" s="413" t="str">
        <f>Datos!A17</f>
        <v>Jdos. Violencia contra la mujer</v>
      </c>
      <c r="B17" s="443">
        <f>Datos!AO17</f>
        <v>1</v>
      </c>
      <c r="C17" s="444">
        <f>Datos!AQ17</f>
        <v>1</v>
      </c>
      <c r="D17" s="414">
        <f>IF(ISNUMBER(Datos!M17),Datos!M17," - ")</f>
        <v>60</v>
      </c>
      <c r="E17" s="415">
        <f>IF(ISNUMBER(D17/B17),D17/B17," - ")</f>
        <v>60</v>
      </c>
      <c r="F17" s="414">
        <f>IF(ISNUMBER(Datos!N17),Datos!N17," - ")</f>
        <v>165</v>
      </c>
      <c r="G17" s="415">
        <f>IF(ISNUMBER(F17/B17),F17/B17," - ")</f>
        <v>165</v>
      </c>
      <c r="H17" s="414">
        <f>IF(ISNUMBER(Datos!O17),Datos!O17," - ")</f>
        <v>19</v>
      </c>
      <c r="I17" s="415">
        <f t="shared" si="5"/>
        <v>19</v>
      </c>
    </row>
    <row r="18" spans="1:9" ht="14.25" thickTop="1" thickBot="1">
      <c r="A18" s="994" t="str">
        <f>Datos!A18</f>
        <v>TOTAL</v>
      </c>
      <c r="B18" s="995">
        <f>Datos!AO18</f>
        <v>4</v>
      </c>
      <c r="C18" s="997">
        <f>Datos!AR18</f>
        <v>4</v>
      </c>
      <c r="D18" s="995">
        <f>SUBTOTAL(9,D15:D17)</f>
        <v>377</v>
      </c>
      <c r="E18" s="996">
        <f t="shared" si="3"/>
        <v>94.25</v>
      </c>
      <c r="F18" s="995">
        <f>SUBTOTAL(9,F15:F17)</f>
        <v>1211</v>
      </c>
      <c r="G18" s="996">
        <f t="shared" si="4"/>
        <v>302.75</v>
      </c>
      <c r="H18" s="995">
        <f>SUBTOTAL(9,H15:H17)</f>
        <v>90</v>
      </c>
      <c r="I18" s="996">
        <f>IF(ISNUMBER(H18/B18),H18/B18," - ")</f>
        <v>22.5</v>
      </c>
    </row>
    <row r="19" spans="1:9" ht="14.25" thickTop="1" thickBot="1">
      <c r="A19" s="939" t="str">
        <f>Datos!A19</f>
        <v>TOTAL JURISDICCIONES</v>
      </c>
      <c r="B19" s="940">
        <f>Datos!AP19</f>
        <v>10</v>
      </c>
      <c r="C19" s="940">
        <f>Datos!AR19</f>
        <v>10</v>
      </c>
      <c r="D19" s="940">
        <f>SUBTOTAL(9,D8:D18)</f>
        <v>725</v>
      </c>
      <c r="E19" s="941">
        <f>IF(ISNUMBER(D19/B19),D19/B19," - ")</f>
        <v>72.5</v>
      </c>
      <c r="F19" s="940">
        <f>SUBTOTAL(9,F8:F18)</f>
        <v>1992</v>
      </c>
      <c r="G19" s="941">
        <f>IF(ISNUMBER(F19/B19),F19/B19," - ")</f>
        <v>199.2</v>
      </c>
      <c r="H19" s="940">
        <f>SUBTOTAL(9,H8:H18)</f>
        <v>1467</v>
      </c>
      <c r="I19" s="941">
        <f>IF(ISNUMBER(H19/B19),H19/B19," - ")</f>
        <v>146.69999999999999</v>
      </c>
    </row>
    <row r="22" spans="1:9">
      <c r="A22" s="402" t="str">
        <f>Criterios!A4</f>
        <v>Fecha Informe: 29 nov. 2023</v>
      </c>
    </row>
    <row r="27" spans="1:9">
      <c r="A27" s="425"/>
    </row>
  </sheetData>
  <sheetProtection algorithmName="SHA-512" hashValue="tQZG94CWzQxm4EY9WpmQi43sNdnMiivjCRFo+6dDTE6QLLlU3u9M8oIQn3IxXeaTJSh6TksZ1naCXnXfzg033w==" saltValue="fJqWslBFEohlIzuZa3qHZ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COMUNIDAD VALENCIANA</v>
      </c>
    </row>
    <row r="3" spans="1:4" ht="19.5">
      <c r="A3" s="445" t="s">
        <v>32</v>
      </c>
      <c r="B3" s="402" t="str">
        <f>Criterios!A10 &amp;"  "&amp;Criterios!B10</f>
        <v>Provincias  VALENCIA</v>
      </c>
    </row>
    <row r="4" spans="1:4" ht="13.5" thickBot="1">
      <c r="B4" s="402" t="str">
        <f>Criterios!A11 &amp;"  "&amp;Criterios!B11</f>
        <v>Resumenes por Partidos Judiciales  GANDIA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534</v>
      </c>
      <c r="C9" s="450">
        <f>IF(ISNUMBER(Datos!Q9),Datos!Q9," - ")</f>
        <v>501</v>
      </c>
      <c r="D9" s="419">
        <f>IF(ISNUMBER(Datos!R9),Datos!R9," - ")</f>
        <v>8108</v>
      </c>
    </row>
    <row r="10" spans="1:4">
      <c r="A10" s="413" t="str">
        <f>Datos!A10</f>
        <v>Jdos. Violencia contra la mujer</v>
      </c>
      <c r="B10" s="449">
        <f>IF(ISNUMBER(Datos!P10),Datos!P10," - ")</f>
        <v>7</v>
      </c>
      <c r="C10" s="450">
        <f>IF(ISNUMBER(Datos!Q10),Datos!Q10," - ")</f>
        <v>4</v>
      </c>
      <c r="D10" s="419">
        <f>IF(ISNUMBER(Datos!R10),Datos!R10," - ")</f>
        <v>70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0</v>
      </c>
      <c r="C12" s="450">
        <f>IF(ISNUMBER(Datos!Q12),Datos!Q12," - ")</f>
        <v>3</v>
      </c>
      <c r="D12" s="419">
        <f>IF(ISNUMBER(Datos!R12),Datos!R12," - ")</f>
        <v>278</v>
      </c>
    </row>
    <row r="13" spans="1:4" ht="14.25" thickTop="1" thickBot="1">
      <c r="A13" s="994" t="str">
        <f>Datos!A13</f>
        <v>TOTAL</v>
      </c>
      <c r="B13" s="995">
        <f>SUBTOTAL(9,B9:B12)</f>
        <v>541</v>
      </c>
      <c r="C13" s="999">
        <f>SUBTOTAL(9,C9:C12)</f>
        <v>508</v>
      </c>
      <c r="D13" s="997">
        <f>SUBTOTAL(9,D9:D12)</f>
        <v>8456</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80</v>
      </c>
      <c r="C15" s="450">
        <f>IF(ISNUMBER(Datos!Q15),Datos!Q15," - ")</f>
        <v>88</v>
      </c>
      <c r="D15" s="419">
        <f>IF(ISNUMBER(Datos!R15),Datos!R15," - ")</f>
        <v>339</v>
      </c>
    </row>
    <row r="16" spans="1:4">
      <c r="A16" s="413" t="str">
        <f>Datos!A16</f>
        <v xml:space="preserve">Jdos. 1ª Instª. e Instr.                        </v>
      </c>
      <c r="B16" s="449" t="str">
        <f>IF(ISNUMBER(Datos!P16),Datos!P16," - ")</f>
        <v xml:space="preserve"> - </v>
      </c>
      <c r="C16" s="450" t="str">
        <f>IF(ISNUMBER(Datos!Q16),Datos!Q16," - ")</f>
        <v xml:space="preserve"> - </v>
      </c>
      <c r="D16" s="419" t="str">
        <f>IF(ISNUMBER(Datos!R16),Datos!R16," - ")</f>
        <v xml:space="preserve"> - </v>
      </c>
    </row>
    <row r="17" spans="1:4" ht="13.5" thickBot="1">
      <c r="A17" s="413" t="str">
        <f>Datos!A17</f>
        <v>Jdos. Violencia contra la mujer</v>
      </c>
      <c r="B17" s="449">
        <f>IF(ISNUMBER(Datos!P17),Datos!P17," - ")</f>
        <v>14</v>
      </c>
      <c r="C17" s="450">
        <f>IF(ISNUMBER(Datos!Q17),Datos!Q17," - ")</f>
        <v>18</v>
      </c>
      <c r="D17" s="419">
        <f>IF(ISNUMBER(Datos!R17),Datos!R17," - ")</f>
        <v>22</v>
      </c>
    </row>
    <row r="18" spans="1:4" ht="14.25" thickTop="1" thickBot="1">
      <c r="A18" s="994" t="str">
        <f>Datos!A18</f>
        <v>TOTAL</v>
      </c>
      <c r="B18" s="995">
        <f>SUBTOTAL(9,B15:B17)</f>
        <v>94</v>
      </c>
      <c r="C18" s="999">
        <f>SUBTOTAL(9,C15:C17)</f>
        <v>106</v>
      </c>
      <c r="D18" s="997">
        <f>SUBTOTAL(9,D15:D17)</f>
        <v>361</v>
      </c>
    </row>
    <row r="19" spans="1:4" ht="16.5" customHeight="1" thickTop="1" thickBot="1">
      <c r="A19" s="939" t="str">
        <f>Datos!A19</f>
        <v>TOTAL JURISDICCIONES</v>
      </c>
      <c r="B19" s="944">
        <f>SUBTOTAL(9,B8:B18)</f>
        <v>635</v>
      </c>
      <c r="C19" s="945">
        <f>SUBTOTAL(9,C8:C18)</f>
        <v>614</v>
      </c>
      <c r="D19" s="946">
        <f>SUBTOTAL(9,D8:D18)</f>
        <v>8817</v>
      </c>
    </row>
    <row r="20" spans="1:4" ht="7.5" customHeight="1"/>
    <row r="21" spans="1:4" ht="6" customHeight="1"/>
    <row r="22" spans="1:4">
      <c r="A22" s="402" t="str">
        <f>Criterios!A4</f>
        <v>Fecha Informe: 29 nov. 2023</v>
      </c>
    </row>
    <row r="27" spans="1:4">
      <c r="A27" s="425"/>
    </row>
  </sheetData>
  <sheetProtection algorithmName="SHA-512" hashValue="p2qsKfXrENYhpW0f114ucdtefPSkrFNrxAIBVru5KUKZuae75f/fq7aPuUGTlvV/dU7aYPvC9rjuSlL2iRTOLg==" saltValue="LwUVw56y/Pmo4GbWcNUOF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COMUNIDAD VALENCIANA</v>
      </c>
    </row>
    <row r="3" spans="1:11" ht="18.75" customHeight="1">
      <c r="A3" s="445" t="s">
        <v>118</v>
      </c>
      <c r="B3" s="402" t="str">
        <f>Criterios!A10 &amp;"  "&amp;Criterios!B10</f>
        <v>Provincias  VALENCIA</v>
      </c>
    </row>
    <row r="4" spans="1:11" ht="10.5" customHeight="1" thickBot="1">
      <c r="B4" s="402" t="str">
        <f>Criterios!A11 &amp;"  "&amp;Criterios!B11</f>
        <v>Resumenes por Partidos Judiciales  GANDIA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9.2805755395683448E-2</v>
      </c>
      <c r="C9" s="472">
        <f>IF(ISNUMBER(
   IF(J_V="SI",(Datos!J9-Datos!T9)/Datos!T9,(Datos!J9+Datos!Z9-(Datos!T9+Datos!AH9))/(Datos!T9+Datos!AH9))
     ),IF(J_V="SI",(Datos!J9-Datos!T9)/Datos!T9,(Datos!J9+Datos!Z9-(Datos!T9+Datos!AH9))/(Datos!T9+Datos!AH9))," - ")</f>
        <v>0.13922155688622753</v>
      </c>
      <c r="D9" s="472">
        <f>IF(ISNUMBER(
   IF(J_V="SI",(Datos!K9-Datos!U9)/Datos!U9,(Datos!K9+Datos!AA9-(Datos!U9+Datos!AI9))/(Datos!U9+Datos!AI9))
     ),IF(J_V="SI",(Datos!K9-Datos!U9)/Datos!U9,(Datos!K9+Datos!AA9-(Datos!U9+Datos!AI9))/(Datos!U9+Datos!AI9))," - ")</f>
        <v>0.25352112676056338</v>
      </c>
      <c r="E9" s="472">
        <f>IF(ISNUMBER(
   IF(J_V="SI",(Datos!L9-Datos!V9)/Datos!V9,(Datos!L9+Datos!AB9-(Datos!V9+Datos!AJ9))/(Datos!V9+Datos!AJ9))
     ),IF(J_V="SI",(Datos!L9-Datos!V9)/Datos!V9,(Datos!L9+Datos!AB9-(Datos!V9+Datos!AJ9))/(Datos!V9+Datos!AJ9))," - ")</f>
        <v>6.4976228209191758E-2</v>
      </c>
      <c r="F9" s="472">
        <f>IF(ISNUMBER((Datos!M9-Datos!W9)/Datos!W9),(Datos!M9-Datos!W9)/Datos!W9," - ")</f>
        <v>0.11960132890365449</v>
      </c>
      <c r="G9" s="473">
        <f>IF(ISNUMBER((Datos!N9-Datos!X9)/Datos!X9),(Datos!N9-Datos!X9)/Datos!X9," - ")</f>
        <v>0.2115987460815047</v>
      </c>
      <c r="H9" s="471">
        <f>IF(ISNUMBER(((NºAsuntos!G9/NºAsuntos!E9)-Datos!BD9)/Datos!BD9),((NºAsuntos!G9/NºAsuntos!E9)-Datos!BD9)/Datos!BD9," - ")</f>
        <v>0.10033129129573753</v>
      </c>
      <c r="I9" s="472">
        <f>IF(ISNUMBER(((NºAsuntos!I9/NºAsuntos!G9)-Datos!BE9)/Datos!BE9),((NºAsuntos!I9/NºAsuntos!G9)-Datos!BE9)/Datos!BE9," - ")</f>
        <v>-0.1504122224398583</v>
      </c>
      <c r="J9" s="477">
        <f>IF(ISNUMBER((('Resol  Asuntos'!D9/NºAsuntos!G9)-Datos!BF9)/Datos!BF9),(('Resol  Asuntos'!D9/NºAsuntos!G9)-Datos!BF9)/Datos!BF9," - ")</f>
        <v>-0.57861646296361524</v>
      </c>
      <c r="K9" s="478">
        <f>IF(ISNUMBER((((NºAsuntos!C9+NºAsuntos!E9)/NºAsuntos!G9)-Datos!BG9)/Datos!BG9),(((NºAsuntos!C9+NºAsuntos!E9)/NºAsuntos!G9)-Datos!BG9)/Datos!BG9," - ")</f>
        <v>-0.11619222327775415</v>
      </c>
    </row>
    <row r="10" spans="1:11">
      <c r="A10" s="413" t="str">
        <f>Datos!A10</f>
        <v>Jdos. Violencia contra la mujer</v>
      </c>
      <c r="B10" s="471">
        <f>IF(ISNUMBER((Datos!I10-Datos!S10)/Datos!S10),(Datos!I10-Datos!S10)/Datos!S10," - ")</f>
        <v>0.97826086956521741</v>
      </c>
      <c r="C10" s="472">
        <f>IF(ISNUMBER((Datos!J10-Datos!T10)/Datos!T10),(Datos!J10-Datos!T10)/Datos!T10," - ")</f>
        <v>-8.3333333333333329E-2</v>
      </c>
      <c r="D10" s="472">
        <f>IF(ISNUMBER((Datos!K10-Datos!U10)/Datos!U10),(Datos!K10-Datos!U10)/Datos!U10," - ")</f>
        <v>0.375</v>
      </c>
      <c r="E10" s="472">
        <f>IF(ISNUMBER((Datos!L10-Datos!V10)/Datos!V10),(Datos!L10-Datos!V10)/Datos!V10," - ")</f>
        <v>0.68518518518518523</v>
      </c>
      <c r="F10" s="472">
        <f>IF(ISNUMBER((Datos!M10-Datos!W10)/Datos!W10),(Datos!M10-Datos!W10)/Datos!W10," - ")</f>
        <v>0.83333333333333337</v>
      </c>
      <c r="G10" s="473">
        <f>IF(ISNUMBER((Datos!N10-Datos!X10)/Datos!X10),(Datos!N10-Datos!X10)/Datos!X10," - ")</f>
        <v>0.33333333333333331</v>
      </c>
      <c r="H10" s="471">
        <f>IF(ISNUMBER(((NºAsuntos!G10/NºAsuntos!E10)-Datos!BD10)/Datos!BD10),((NºAsuntos!G10/NºAsuntos!E10)-Datos!BD10)/Datos!BD10," - ")</f>
        <v>0.50000000000000011</v>
      </c>
      <c r="I10" s="472">
        <f>IF(ISNUMBER(((NºAsuntos!I10/NºAsuntos!G10)-Datos!BE10)/Datos!BE10),((NºAsuntos!I10/NºAsuntos!G10)-Datos!BE10)/Datos!BE10," - ")</f>
        <v>0.22558922558922567</v>
      </c>
      <c r="J10" s="477">
        <f>IF(ISNUMBER((('Resol  Asuntos'!D10/NºAsuntos!G10)-Datos!BF10)/Datos!BF10),(('Resol  Asuntos'!D10/NºAsuntos!G10)-Datos!BF10)/Datos!BF10," - ")</f>
        <v>0.33333333333333331</v>
      </c>
      <c r="K10" s="478">
        <f>IF(ISNUMBER((((NºAsuntos!C10+NºAsuntos!E10)/NºAsuntos!G10)-Datos!BG10)/Datos!BG10),(((NºAsuntos!C10+NºAsuntos!E10)/NºAsuntos!G10)-Datos!BG10)/Datos!BG10," - ")</f>
        <v>0.17402597402597411</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-1</v>
      </c>
      <c r="C12" s="472" t="str">
        <f>IF(ISNUMBER(
   IF(J_V="SI",(Datos!J12-Datos!T12)/Datos!T12,(Datos!J12+Datos!Z12-(Datos!T12+Datos!AH12))/(Datos!T12+Datos!AH12))
     ),IF(J_V="SI",(Datos!J12-Datos!T12)/Datos!T12,(Datos!J12+Datos!Z12-(Datos!T12+Datos!AH12))/(Datos!T12+Datos!AH12))," - ")</f>
        <v xml:space="preserve"> - </v>
      </c>
      <c r="D12" s="472">
        <f>IF(ISNUMBER(
   IF(J_V="SI",(Datos!K12-Datos!U12)/Datos!U12,(Datos!K12+Datos!AA12-(Datos!U12+Datos!AI12))/(Datos!U12+Datos!AI12))
     ),IF(J_V="SI",(Datos!K12-Datos!U12)/Datos!U12,(Datos!K12+Datos!AA12-(Datos!U12+Datos!AI12))/(Datos!U12+Datos!AI12))," - ")</f>
        <v>-1</v>
      </c>
      <c r="E12" s="472">
        <f>IF(ISNUMBER(
   IF(J_V="SI",(Datos!L12-Datos!V12)/Datos!V12,(Datos!L12+Datos!AB12-(Datos!V12+Datos!AJ12))/(Datos!V12+Datos!AJ12))
     ),IF(J_V="SI",(Datos!L12-Datos!V12)/Datos!V12,(Datos!L12+Datos!AB12-(Datos!V12+Datos!AJ12))/(Datos!V12+Datos!AJ12))," - ")</f>
        <v>-1</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0.10194404931247036</v>
      </c>
      <c r="C13" s="1001">
        <f>IF(ISNUMBER(
   IF(J_V="SI",(Datos!J13-Datos!T13)/Datos!T13,(Datos!J13+Datos!Z13-(Datos!T13+Datos!AH13))/(Datos!T13+Datos!AH13))
     ),IF(J_V="SI",(Datos!J13-Datos!T13)/Datos!T13,(Datos!J13+Datos!Z13-(Datos!T13+Datos!AH13))/(Datos!T13+Datos!AH13))," - ")</f>
        <v>0.13658777120315582</v>
      </c>
      <c r="D13" s="1001">
        <f>IF(ISNUMBER(
   IF(J_V="SI",(Datos!K13-Datos!U13)/Datos!U13,(Datos!K13+Datos!AA13-(Datos!U13+Datos!AI13))/(Datos!U13+Datos!AI13))
     ),IF(J_V="SI",(Datos!K13-Datos!U13)/Datos!U13,(Datos!K13+Datos!AA13-(Datos!U13+Datos!AI13))/(Datos!U13+Datos!AI13))," - ")</f>
        <v>0.25392213829169086</v>
      </c>
      <c r="E13" s="1001">
        <f>IF(ISNUMBER(
   IF(J_V="SI",(Datos!L13-Datos!V13)/Datos!V13,(Datos!L13+Datos!AB13-(Datos!V13+Datos!AJ13))/(Datos!V13+Datos!AJ13))
     ),IF(J_V="SI",(Datos!L13-Datos!V13)/Datos!V13,(Datos!L13+Datos!AB13-(Datos!V13+Datos!AJ13))/(Datos!V13+Datos!AJ13))," - ")</f>
        <v>7.2227191413237926E-2</v>
      </c>
      <c r="F13" s="1002">
        <f>IF(ISNUMBER((Datos!M13-Datos!W13)/Datos!W13),(Datos!M13-Datos!W13)/Datos!W13," - ")</f>
        <v>0.13355048859934854</v>
      </c>
      <c r="G13" s="1003">
        <f>IF(ISNUMBER((Datos!N13-Datos!X13)/Datos!X13),(Datos!N13-Datos!X13)/Datos!X13," - ")</f>
        <v>0.2127329192546584</v>
      </c>
      <c r="H13" s="1003">
        <f>IF(ISNUMBER(((NºAsuntos!G13/NºAsuntos!E13)-Datos!BD13)/Datos!BD13),((NºAsuntos!G13/NºAsuntos!E13)-Datos!BD13)/Datos!BD13," - ")</f>
        <v>0.10323388132561789</v>
      </c>
      <c r="I13" s="1003">
        <f>IF(ISNUMBER(((NºAsuntos!I13/NºAsuntos!G13)-Datos!BE13)/Datos!BE13),((NºAsuntos!I13/NºAsuntos!G13)-Datos!BE13)/Datos!BE13," - ")</f>
        <v>-0.14490129915561514</v>
      </c>
      <c r="J13" s="1003">
        <f>IF(ISNUMBER((('Resol  Asuntos'!D13/NºAsuntos!G13)-Datos!BF13)/Datos!BF13),(('Resol  Asuntos'!D13/NºAsuntos!G13)-Datos!BF13)/Datos!BF13," - ")</f>
        <v>-0.56905404705299945</v>
      </c>
      <c r="K13" s="1003">
        <f>IF(ISNUMBER((((NºAsuntos!C13+NºAsuntos!E13)/NºAsuntos!G13)-Datos!BG13)/Datos!BG13),(((NºAsuntos!C13+NºAsuntos!E13)/NºAsuntos!G13)-Datos!BG13)/Datos!BG13," - ")</f>
        <v>-0.11223160579953746</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0.41202090592334495</v>
      </c>
      <c r="C15" s="472">
        <f>IF(ISNUMBER(
   IF(D_I="SI",(Datos!J15-Datos!T15)/Datos!T15,(Datos!J15+Datos!AD15-(Datos!T15+Datos!AL15))/(Datos!T15+Datos!AL15))
     ),IF(D_I="SI",(Datos!J15-Datos!T15)/Datos!T15,(Datos!J15+Datos!AD15-(Datos!T15+Datos!AL15))/(Datos!T15+Datos!AL15))," - ")</f>
        <v>2.750965250965251E-2</v>
      </c>
      <c r="D15" s="472">
        <f>IF(ISNUMBER(
   IF(D_I="SI",(Datos!K15-Datos!U15)/Datos!U15,(Datos!K15+Datos!AE15-(Datos!U15+Datos!AM15))/(Datos!U15+Datos!AM15))
     ),IF(D_I="SI",(Datos!K15-Datos!U15)/Datos!U15,(Datos!K15+Datos!AE15-(Datos!U15+Datos!AM15))/(Datos!U15+Datos!AM15))," - ")</f>
        <v>-6.9817400644468317E-3</v>
      </c>
      <c r="E15" s="472">
        <f>IF(ISNUMBER(
   IF(D_I="SI",(Datos!L15-Datos!V15)/Datos!V15,(Datos!L15+Datos!AF15-(Datos!V15+Datos!AN15))/(Datos!V15+Datos!AN15))
     ),IF(D_I="SI",(Datos!L15-Datos!V15)/Datos!V15,(Datos!L15+Datos!AF15-(Datos!V15+Datos!AN15))/(Datos!V15+Datos!AN15))," - ")</f>
        <v>0.36756373937677056</v>
      </c>
      <c r="F15" s="472">
        <f>IF(ISNUMBER((Datos!M15-Datos!W15)/Datos!W15),(Datos!M15-Datos!W15)/Datos!W15," - ")</f>
        <v>0.1444043321299639</v>
      </c>
      <c r="G15" s="473">
        <f>IF(ISNUMBER((Datos!N15-Datos!X15)/Datos!X15),(Datos!N15-Datos!X15)/Datos!X15," - ")</f>
        <v>-2.1515434985968196E-2</v>
      </c>
      <c r="H15" s="471">
        <f>IF(ISNUMBER(((NºAsuntos!G15/NºAsuntos!E15)-Datos!BD15)/Datos!BD15),((NºAsuntos!G15/NºAsuntos!E15)-Datos!BD15)/Datos!BD15," - ")</f>
        <v>-3.3567949935901287E-2</v>
      </c>
      <c r="I15" s="472">
        <f>IF(ISNUMBER(((NºAsuntos!I15/NºAsuntos!G15)-Datos!BE15)/Datos!BE15),((NºAsuntos!I15/NºAsuntos!G15)-Datos!BE15)/Datos!BE15," - ")</f>
        <v>0.37717884408845137</v>
      </c>
      <c r="J15" s="477">
        <f>IF(ISNUMBER((('Resol  Asuntos'!D15/NºAsuntos!G15)-Datos!BF15)/Datos!BF15),(('Resol  Asuntos'!D15/NºAsuntos!G15)-Datos!BF15)/Datos!BF15," - ")</f>
        <v>0.15245044155002316</v>
      </c>
      <c r="K15" s="478">
        <f>IF(ISNUMBER((((NºAsuntos!C15+NºAsuntos!E15)/NºAsuntos!G15)-Datos!BG15)/Datos!BG15),(((NºAsuntos!C15+NºAsuntos!E15)/NºAsuntos!G15)-Datos!BG15)/Datos!BG15," - ")</f>
        <v>0.17278434876666576</v>
      </c>
    </row>
    <row r="16" spans="1:11">
      <c r="A16" s="413" t="str">
        <f>Datos!A16</f>
        <v xml:space="preserve">Jdos. 1ª Instª. e Instr.                        </v>
      </c>
      <c r="B16" s="471" t="str">
        <f>IF(ISNUMBER(
   IF(D_I="SI",(Datos!I16-Datos!S16)/Datos!S16,(Datos!I16+Datos!AC16-(Datos!S16+Datos!AK16))/(Datos!S16+Datos!AK16))
     ),IF(D_I="SI",(Datos!I16-Datos!S16)/Datos!S16,(Datos!I16+Datos!AC16-(Datos!S16+Datos!AK16))/(Datos!S16+Datos!AK16))," - ")</f>
        <v xml:space="preserve"> - </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t="str">
        <f>IF(ISNUMBER(
   IF(D_I="SI",(Datos!L16-Datos!V16)/Datos!V16,(Datos!L16+Datos!AF16-(Datos!V16+Datos!AN16))/(Datos!V16+Datos!AN16))
     ),IF(D_I="SI",(Datos!L16-Datos!V16)/Datos!V16,(Datos!L16+Datos!AF16-(Datos!V16+Datos!AN16))/(Datos!V16+Datos!AN16))," - ")</f>
        <v xml:space="preserve"> - </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2.0408163265306121E-2</v>
      </c>
      <c r="C17" s="472">
        <f>IF(ISNUMBER(
   IF(D_I="SI",(Datos!J17-Datos!T17)/Datos!T17,(Datos!J17+Datos!AD17-(Datos!T17+Datos!AL17))/(Datos!T17+Datos!AL17))
     ),IF(D_I="SI",(Datos!J17-Datos!T17)/Datos!T17,(Datos!J17+Datos!AD17-(Datos!T17+Datos!AL17))/(Datos!T17+Datos!AL17))," - ")</f>
        <v>0.11946902654867257</v>
      </c>
      <c r="D17" s="472">
        <f>IF(ISNUMBER(
   IF(D_I="SI",(Datos!K17-Datos!U17)/Datos!U17,(Datos!K17+Datos!AE17-(Datos!U17+Datos!AM17))/(Datos!U17+Datos!AM17))
     ),IF(D_I="SI",(Datos!K17-Datos!U17)/Datos!U17,(Datos!K17+Datos!AE17-(Datos!U17+Datos!AM17))/(Datos!U17+Datos!AM17))," - ")</f>
        <v>0.10222222222222223</v>
      </c>
      <c r="E17" s="472">
        <f>IF(ISNUMBER(
   IF(D_I="SI",(Datos!L17-Datos!V17)/Datos!V17,(Datos!L17+Datos!AF17-(Datos!V17+Datos!AN17))/(Datos!V17+Datos!AN17))
     ),IF(D_I="SI",(Datos!L17-Datos!V17)/Datos!V17,(Datos!L17+Datos!AF17-(Datos!V17+Datos!AN17))/(Datos!V17+Datos!AN17))," - ")</f>
        <v>6.0606060606060608E-2</v>
      </c>
      <c r="F17" s="472">
        <f>IF(ISNUMBER((Datos!M17-Datos!W17)/Datos!W17),(Datos!M17-Datos!W17)/Datos!W17," - ")</f>
        <v>-0.1891891891891892</v>
      </c>
      <c r="G17" s="473">
        <f>IF(ISNUMBER((Datos!N17-Datos!X17)/Datos!X17),(Datos!N17-Datos!X17)/Datos!X17," - ")</f>
        <v>4.4303797468354431E-2</v>
      </c>
      <c r="H17" s="471">
        <f>IF(ISNUMBER(((NºAsuntos!G17/NºAsuntos!E17)-Datos!BD17)/Datos!BD17),((NºAsuntos!G17/NºAsuntos!E17)-Datos!BD17)/Datos!BD17," - ")</f>
        <v>-1.5406236275801483E-2</v>
      </c>
      <c r="I17" s="472">
        <f>IF(ISNUMBER(((NºAsuntos!I17/NºAsuntos!G17)-Datos!BE17)/Datos!BE17),((NºAsuntos!I17/NºAsuntos!G17)-Datos!BE17)/Datos!BE17," - ")</f>
        <v>-3.7756598240469182E-2</v>
      </c>
      <c r="J17" s="477">
        <f>IF(ISNUMBER((('Resol  Asuntos'!D17/NºAsuntos!G17)-Datos!BF17)/Datos!BF17),(('Resol  Asuntos'!D17/NºAsuntos!G17)-Datos!BF17)/Datos!BF17," - ")</f>
        <v>-0.26438535309503053</v>
      </c>
      <c r="K17" s="478">
        <f>IF(ISNUMBER((((NºAsuntos!C17+NºAsuntos!E17)/NºAsuntos!G17)-Datos!BG17)/Datos!BG17),(((NºAsuntos!C17+NºAsuntos!E17)/NºAsuntos!G17)-Datos!BG17)/Datos!BG17," - ")</f>
        <v>-1.1536738351254473E-2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0.3812199036918138</v>
      </c>
      <c r="C18" s="1001">
        <f>IF(ISNUMBER(
   IF(Criterios!B14="SI",(Datos!J18-Datos!T18)/Datos!T18,(Datos!J18+Datos!AD18-(Datos!T18+Datos!AL18))/(Datos!T18+Datos!AL18))
     ),IF(Criterios!B14="SI",(Datos!J18-Datos!T18)/Datos!T18,(Datos!J18+Datos!AD18-(Datos!T18+Datos!AL18))/(Datos!T18+Datos!AL18))," - ")</f>
        <v>3.6553524804177548E-2</v>
      </c>
      <c r="D18" s="1001">
        <f>IF(ISNUMBER(
   IF(Criterios!B14="SI",(Datos!K18-Datos!U18)/Datos!U18,(Datos!K18+Datos!AE18-(Datos!U18+Datos!AM18))/(Datos!U18+Datos!AM18))
     ),IF(Criterios!B14="SI",(Datos!K18-Datos!U18)/Datos!U18,(Datos!K18+Datos!AE18-(Datos!U18+Datos!AM18))/(Datos!U18+Datos!AM18))," - ")</f>
        <v>4.7915668423574509E-3</v>
      </c>
      <c r="E18" s="1001">
        <f>IF(ISNUMBER(
   IF(Criterios!B14="SI",(Datos!L18-Datos!V18)/Datos!V18,(Datos!L18+Datos!AF18-(Datos!V18+Datos!AN18))/(Datos!V18+Datos!AN18))
     ),IF(Criterios!B14="SI",(Datos!L18-Datos!V18)/Datos!V18,(Datos!L18+Datos!AF18-(Datos!V18+Datos!AN18))/(Datos!V18+Datos!AN18))," - ")</f>
        <v>0.34745201853077434</v>
      </c>
      <c r="F18" s="1002">
        <f>IF(ISNUMBER((Datos!M18-Datos!W18)/Datos!W18),(Datos!M18-Datos!W18)/Datos!W18," - ")</f>
        <v>7.407407407407407E-2</v>
      </c>
      <c r="G18" s="1003">
        <f>IF(ISNUMBER((Datos!N18-Datos!X18)/Datos!X18),(Datos!N18-Datos!X18)/Datos!X18," - ")</f>
        <v>-1.3039934800325998E-2</v>
      </c>
      <c r="H18" s="1003">
        <f>IF(ISNUMBER(((NºAsuntos!G18/NºAsuntos!E18)-Datos!BD18)/Datos!BD18),((NºAsuntos!G18/NºAsuntos!E18)-Datos!BD18)/Datos!BD18," - ")</f>
        <v>-3.064188891530752E-2</v>
      </c>
      <c r="I18" s="1003">
        <f>IF(ISNUMBER(((NºAsuntos!I18/NºAsuntos!G18)-Datos!BE18)/Datos!BE18),((NºAsuntos!I18/NºAsuntos!G18)-Datos!BE18)/Datos!BE18," - ")</f>
        <v>0.34102640089352698</v>
      </c>
      <c r="J18" s="1003">
        <f>IF(ISNUMBER((('Resol  Asuntos'!D18/NºAsuntos!G18)-Datos!BF18)/Datos!BF18),(('Resol  Asuntos'!D18/NºAsuntos!G18)-Datos!BF18)/Datos!BF18," - ")</f>
        <v>6.8952118546777491E-2</v>
      </c>
      <c r="K18" s="1003">
        <f>IF(ISNUMBER((((NºAsuntos!C18+NºAsuntos!E18)/NºAsuntos!G18)-Datos!BG18)/Datos!BG18),(((NºAsuntos!C18+NºAsuntos!E18)/NºAsuntos!G18)-Datos!BG18)/Datos!BG18," - ")</f>
        <v>0.15221048342736213</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0.16562957540263543</v>
      </c>
      <c r="C19" s="948">
        <f>IF(ISNUMBER(
   IF(J_V="SI",(Datos!J19-Datos!T19)/Datos!T19,(Datos!J19+Datos!Z19-(Datos!T19+Datos!AH19))/(Datos!T19+Datos!AH19))
     ),IF(J_V="SI",(Datos!J19-Datos!T19)/Datos!T19,(Datos!J19+Datos!Z19-(Datos!T19+Datos!AH19))/(Datos!T19+Datos!AH19))," - ")</f>
        <v>8.3448913546000925E-2</v>
      </c>
      <c r="D19" s="948">
        <f>IF(ISNUMBER(
   IF(J_V="SI",(Datos!K19-Datos!U19)/Datos!U19,(Datos!K19+Datos!AA19-(Datos!U19+Datos!AI19))/(Datos!U19+Datos!AI19))
     ),IF(J_V="SI",(Datos!K19-Datos!U19)/Datos!U19,(Datos!K19+Datos!AA19-(Datos!U19+Datos!AI19))/(Datos!U19+Datos!AI19))," - ")</f>
        <v>0.1173844537815126</v>
      </c>
      <c r="E19" s="948">
        <f>IF(ISNUMBER(
   IF(J_V="SI",(Datos!L19-Datos!V19)/Datos!V19,(Datos!L19+Datos!AB19-(Datos!V19+Datos!AJ19))/(Datos!V19+Datos!AJ19))
     ),IF(J_V="SI",(Datos!L19-Datos!V19)/Datos!V19,(Datos!L19+Datos!AB19-(Datos!V19+Datos!AJ19))/(Datos!V19+Datos!AJ19))," - ")</f>
        <v>0.14173491559418352</v>
      </c>
      <c r="F19" s="949">
        <f>IF(ISNUMBER((Datos!M19-Datos!W19)/Datos!W19),(Datos!M19-Datos!W19)/Datos!W19," - ")</f>
        <v>0.10182370820668693</v>
      </c>
      <c r="G19" s="950">
        <f>IF(ISNUMBER((Datos!N19-Datos!X19)/Datos!X19),(Datos!N19-Datos!X19)/Datos!X19," - ")</f>
        <v>6.4671298770710844E-2</v>
      </c>
      <c r="H19" s="951">
        <f>IF(ISNUMBER((Tasas!B19-Datos!BD19)/Datos!BD19),(Tasas!B19-Datos!BD19)/Datos!BD19," - ")</f>
        <v>3.1321772361600969E-2</v>
      </c>
      <c r="I19" s="952">
        <f>IF(ISNUMBER((Tasas!C19-Datos!BE19)/Datos!BE19),(Tasas!C19-Datos!BE19)/Datos!BE19," - ")</f>
        <v>2.179237569510005E-2</v>
      </c>
      <c r="J19" s="953">
        <f>IF(ISNUMBER((Tasas!D19-Datos!BF19)/Datos!BF19),(Tasas!D19-Datos!BF19)/Datos!BF19," - ")</f>
        <v>-0.34790285150783301</v>
      </c>
      <c r="K19" s="953">
        <f>IF(ISNUMBER((Tasas!E19-Datos!BG19)/Datos!BG19),(Tasas!E19-Datos!BG19)/Datos!BG19," - ")</f>
        <v>1.067777018925045E-2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F+gE/QSk7cdryfULwEDDIthZIzHK4Vx8R+Aw5ZrPXmzVrCEDjn3Ld3VmNNfBblGbkhTa2hQMuHNEdT2fMwpgFA==" saltValue="gBLtXtFy7NQ3+oeT6r7to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COMUNIDAD VALENCIANA</v>
      </c>
    </row>
    <row r="3" spans="1:7" ht="19.5">
      <c r="A3" s="452" t="s">
        <v>12</v>
      </c>
      <c r="B3" s="402" t="str">
        <f>Criterios!A10 &amp;"  "&amp;Criterios!B10</f>
        <v>Provincias  VALENCIA</v>
      </c>
    </row>
    <row r="4" spans="1:7" ht="11.25" customHeight="1" thickBot="1">
      <c r="B4" s="402" t="str">
        <f>Criterios!A11 &amp;"  "&amp;Criterios!B11</f>
        <v>Resumenes por Partidos Judiciales  GANDIA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0.93561103810775292</v>
      </c>
      <c r="C9" s="459">
        <f>IF(ISNUMBER(NºAsuntos!I9/NºAsuntos!G9),NºAsuntos!I9/NºAsuntos!G9," - ")</f>
        <v>2.202247191011236</v>
      </c>
      <c r="D9" s="460">
        <f>IF(ISNUMBER('Resol  Asuntos'!D9/NºAsuntos!G9),'Resol  Asuntos'!D9/NºAsuntos!G9," - ")</f>
        <v>0.15777153558052434</v>
      </c>
      <c r="E9" s="461">
        <f>IF(ISNUMBER((NºAsuntos!C9+NºAsuntos!E9)/NºAsuntos!G9),(NºAsuntos!C9+NºAsuntos!E9)/NºAsuntos!G9," - ")</f>
        <v>3.202247191011236</v>
      </c>
      <c r="G9" s="479"/>
    </row>
    <row r="10" spans="1:7">
      <c r="A10" s="413" t="str">
        <f>Datos!A10</f>
        <v>Jdos. Violencia contra la mujer</v>
      </c>
      <c r="B10" s="458">
        <f>IF(ISNUMBER(NºAsuntos!G10/NºAsuntos!E10),NºAsuntos!G10/NºAsuntos!E10," - ")</f>
        <v>1</v>
      </c>
      <c r="C10" s="459">
        <f>IF(ISNUMBER(NºAsuntos!I10/NºAsuntos!G10),NºAsuntos!I10/NºAsuntos!G10," - ")</f>
        <v>4.1363636363636367</v>
      </c>
      <c r="D10" s="460">
        <f>IF(ISNUMBER('Resol  Asuntos'!D10/NºAsuntos!G10),'Resol  Asuntos'!D10/NºAsuntos!G10," - ")</f>
        <v>0.5</v>
      </c>
      <c r="E10" s="461">
        <f>IF(ISNUMBER((NºAsuntos!C10+NºAsuntos!E10)/NºAsuntos!G10),(NºAsuntos!C10+NºAsuntos!E10)/NºAsuntos!G10," - ")</f>
        <v>5.1363636363636367</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0.93622559652928417</v>
      </c>
      <c r="C13" s="1005">
        <f>IF(ISNUMBER(NºAsuntos!I13/NºAsuntos!G13),NºAsuntos!I13/NºAsuntos!G13," - ")</f>
        <v>2.2219647822057462</v>
      </c>
      <c r="D13" s="1006">
        <f>IF(ISNUMBER('Resol  Asuntos'!D13/NºAsuntos!G13),'Resol  Asuntos'!D13/NºAsuntos!G13," - ")</f>
        <v>0.16126042632066728</v>
      </c>
      <c r="E13" s="1007">
        <f>IF(ISNUMBER((NºAsuntos!C13+NºAsuntos!E13)/NºAsuntos!G13),(NºAsuntos!C13+NºAsuntos!E13)/NºAsuntos!G13," - ")</f>
        <v>3.2219647822057462</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0.8684828558008455</v>
      </c>
      <c r="C15" s="459">
        <f>IF(ISNUMBER(NºAsuntos!I15/NºAsuntos!G15),NºAsuntos!I15/NºAsuntos!G15," - ")</f>
        <v>1.0443482963764197</v>
      </c>
      <c r="D15" s="460">
        <f>IF(ISNUMBER('Resol  Asuntos'!D15/NºAsuntos!G15),'Resol  Asuntos'!D15/NºAsuntos!G15," - ")</f>
        <v>0.17144402379664683</v>
      </c>
      <c r="E15" s="461">
        <f>IF(ISNUMBER((NºAsuntos!C15+NºAsuntos!E15)/NºAsuntos!G15),(NºAsuntos!C15+NºAsuntos!E15)/NºAsuntos!G15," - ")</f>
        <v>2.0281233098972415</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0.98023715415019763</v>
      </c>
      <c r="C17" s="459">
        <f>IF(ISNUMBER(NºAsuntos!I17/NºAsuntos!G17),NºAsuntos!I17/NºAsuntos!G17," - ")</f>
        <v>0.42338709677419356</v>
      </c>
      <c r="D17" s="460">
        <f>IF(ISNUMBER('Resol  Asuntos'!D17/NºAsuntos!G17),'Resol  Asuntos'!D17/NºAsuntos!G17," - ")</f>
        <v>0.24193548387096775</v>
      </c>
      <c r="E17" s="461">
        <f>IF(ISNUMBER((NºAsuntos!C17+NºAsuntos!E17)/NºAsuntos!G17),(NºAsuntos!C17+NºAsuntos!E17)/NºAsuntos!G17," - ")</f>
        <v>1.4233870967741935</v>
      </c>
      <c r="G17" s="479"/>
    </row>
    <row r="18" spans="1:7" ht="14.25" thickTop="1" thickBot="1">
      <c r="A18" s="994" t="str">
        <f>Datos!A18</f>
        <v>TOTAL</v>
      </c>
      <c r="B18" s="1004">
        <f>IF(ISNUMBER(NºAsuntos!G18/NºAsuntos!E18),NºAsuntos!G18/NºAsuntos!E18," - ")</f>
        <v>0.88035264483627207</v>
      </c>
      <c r="C18" s="1005">
        <f>IF(ISNUMBER(NºAsuntos!I18/NºAsuntos!G18),NºAsuntos!I18/NºAsuntos!G18," - ")</f>
        <v>0.97091082498807824</v>
      </c>
      <c r="D18" s="1008">
        <f>IF(ISNUMBER('Resol  Asuntos'!D18/NºAsuntos!G18),'Resol  Asuntos'!D18/NºAsuntos!G18," - ")</f>
        <v>0.17978063900810681</v>
      </c>
      <c r="E18" s="1007">
        <f>IF(ISNUMBER((NºAsuntos!C18+NºAsuntos!E18)/NºAsuntos!G18),(NºAsuntos!C18+NºAsuntos!E18)/NºAsuntos!G18," - ")</f>
        <v>1.9566046733428708</v>
      </c>
      <c r="G18" s="479"/>
    </row>
    <row r="19" spans="1:7" ht="15.75" customHeight="1" thickTop="1" thickBot="1">
      <c r="A19" s="939" t="str">
        <f>Datos!A19</f>
        <v>TOTAL JURISDICCIONES</v>
      </c>
      <c r="B19" s="954">
        <f>IF(ISNUMBER(NºAsuntos!G19/NºAsuntos!E19),NºAsuntos!G19/NºAsuntos!E19," - ")</f>
        <v>0.90783016855131216</v>
      </c>
      <c r="C19" s="955">
        <f>IF(ISNUMBER(NºAsuntos!I19/NºAsuntos!G19),NºAsuntos!I19/NºAsuntos!G19," - ")</f>
        <v>1.6054054054054054</v>
      </c>
      <c r="D19" s="956">
        <f>IF(ISNUMBER('Resol  Asuntos'!D19/NºAsuntos!G19),'Resol  Asuntos'!D19/NºAsuntos!G19," - ")</f>
        <v>0.17038777908343125</v>
      </c>
      <c r="E19" s="957">
        <f>IF(ISNUMBER((NºAsuntos!C19+NºAsuntos!E19)/NºAsuntos!G19),(NºAsuntos!C19+NºAsuntos!E19)/NºAsuntos!G19," - ")</f>
        <v>2.5983548766157463</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wXNQP53s93WYdhsx9AycaRThn42QfCz3fhDLHeNwKBuK3cgqQQzg81sYkqZuXaqU9iFhrDxcwcCwzG/Bsc99AQ==" saltValue="r8/+/KzLif9Xix1D89le/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COMUNIDAD VALENCIANA</v>
      </c>
      <c r="G2" s="339"/>
      <c r="H2" s="338"/>
      <c r="I2" s="338"/>
      <c r="J2" s="338"/>
      <c r="K2" s="338"/>
      <c r="L2" s="338" t="str">
        <f>Criterios!A10 &amp;"  "&amp;Criterios!B10</f>
        <v>Provincias  VALENCIA</v>
      </c>
      <c r="N2" s="338" t="str">
        <f>Criterios!A11 &amp;"  "&amp;Criterios!B11</f>
        <v>Resumenes por Partidos Judiciales  GANDIA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6</v>
      </c>
      <c r="B9" s="181" t="s">
        <v>249</v>
      </c>
      <c r="C9" s="164" t="str">
        <f>Datos!A9</f>
        <v xml:space="preserve">Jdos. 1ª Instancia   </v>
      </c>
      <c r="D9" s="164"/>
      <c r="E9" s="1201">
        <f>IF(ISNUMBER(Datos!AQ9),Datos!AQ9," - ")</f>
        <v>6</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534</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501</v>
      </c>
      <c r="Y9" s="343">
        <f>SUM(W9:X9)</f>
        <v>501</v>
      </c>
      <c r="Z9" s="344" t="str">
        <f>IF(ISNUMBER(Datos!CC9),Datos!CC9," - ")</f>
        <v xml:space="preserve"> - </v>
      </c>
      <c r="AA9" s="341" t="str">
        <f>IF(ISNUMBER(IF(J_V="SI",Datos!L9,Datos!L9+Datos!AB9)-IF(Monitorios="SI",Datos!CD9,0)),
                          IF(J_V="SI",Datos!L9,Datos!L9+Datos!AB9)-IF(Monitorios="SI",Datos!CD9,0),
                          " - ")</f>
        <v xml:space="preserve"> - </v>
      </c>
      <c r="AB9" s="343">
        <f>IF(ISNUMBER(Datos!R9),Datos!R9," - ")</f>
        <v>8108</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337</v>
      </c>
      <c r="AJ9" s="233" t="str">
        <f>IF(ISNUMBER(Datos!BW9),Datos!BW9," - ")</f>
        <v xml:space="preserve"> - </v>
      </c>
      <c r="AK9" s="232" t="str">
        <f>IF(ISNUMBER(Datos!BX9),Datos!BX9," - ")</f>
        <v xml:space="preserve"> - </v>
      </c>
      <c r="AL9" s="247">
        <f>IF(ISNUMBER(NºAsuntos!G9/NºAsuntos!E9),NºAsuntos!G9/NºAsuntos!E9," - ")</f>
        <v>0.93561103810775292</v>
      </c>
      <c r="AM9" s="264">
        <f>IF(ISNUMBER(((NºAsuntos!I9/NºAsuntos!G9)*11)/factor_trimestre),((NºAsuntos!I9/NºAsuntos!G9)*11)/factor_trimestre," - ")</f>
        <v>4.404494382022472</v>
      </c>
      <c r="AN9" s="248">
        <f>IF(ISNUMBER('Resol  Asuntos'!D9/NºAsuntos!G9),'Resol  Asuntos'!D9/NºAsuntos!G9," - ")</f>
        <v>0.15777153558052434</v>
      </c>
      <c r="AO9" s="249">
        <f>IF(ISNUMBER((NºAsuntos!C9+NºAsuntos!E9)/NºAsuntos!G9),(NºAsuntos!C9+NºAsuntos!E9)/NºAsuntos!G9," - ")</f>
        <v>3.202247191011236</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1</v>
      </c>
      <c r="F10" s="229">
        <f>IF(ISNUMBER(Datos!L10+Datos!K10-Datos!J10-K10),Datos!L10+Datos!K10-Datos!J10-K10," - ")</f>
        <v>91</v>
      </c>
      <c r="G10" s="342">
        <f>IF(ISNUMBER(Datos!I10),Datos!I10," - ")</f>
        <v>91</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7</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22</v>
      </c>
      <c r="X10" s="230">
        <f>IF(ISNUMBER(Datos!Q10),Datos!Q10," - ")</f>
        <v>4</v>
      </c>
      <c r="Y10" s="343">
        <f t="shared" ref="Y10:Y12" si="0">SUM(W10:X10)</f>
        <v>26</v>
      </c>
      <c r="Z10" s="344" t="str">
        <f>IF(ISNUMBER(Datos!CC10),Datos!CC10," - ")</f>
        <v xml:space="preserve"> - </v>
      </c>
      <c r="AA10" s="341">
        <f>IF(ISNUMBER(Datos!L10),Datos!L10,"-")</f>
        <v>91</v>
      </c>
      <c r="AB10" s="343">
        <f>IF(ISNUMBER(Datos!R10),Datos!R10," - ")</f>
        <v>70</v>
      </c>
      <c r="AC10" s="343">
        <f t="shared" ref="AC10:AC12" si="1">IF(ISNUMBER(AA10+AB10),AA10+AB10," - ")</f>
        <v>161</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11</v>
      </c>
      <c r="AJ10" s="235" t="str">
        <f>IF(ISNUMBER(Datos!BW10),Datos!BW10," - ")</f>
        <v xml:space="preserve"> - </v>
      </c>
      <c r="AK10" s="236" t="str">
        <f>IF(ISNUMBER(Datos!BX10),Datos!BX10," - ")</f>
        <v xml:space="preserve"> - </v>
      </c>
      <c r="AL10" s="247">
        <f>IF(ISNUMBER(NºAsuntos!G10/NºAsuntos!E10),NºAsuntos!G10/NºAsuntos!E10," - ")</f>
        <v>1</v>
      </c>
      <c r="AM10" s="264">
        <f>IF(ISNUMBER(((NºAsuntos!I10/NºAsuntos!G10)*11)/factor_trimestre),((NºAsuntos!I10/NºAsuntos!G10)*11)/factor_trimestre," - ")</f>
        <v>8.2727272727272734</v>
      </c>
      <c r="AN10" s="248">
        <f>IF(ISNUMBER('Resol  Asuntos'!D10/NºAsuntos!G10),'Resol  Asuntos'!D10/NºAsuntos!G10," - ")</f>
        <v>0.5</v>
      </c>
      <c r="AO10" s="249">
        <f>IF(ISNUMBER((NºAsuntos!C10+NºAsuntos!E10)/NºAsuntos!G10),(NºAsuntos!C10+NºAsuntos!E10)/NºAsuntos!G10," - ")</f>
        <v>5.1363636363636367</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3</v>
      </c>
      <c r="Y12" s="343">
        <f t="shared" si="0"/>
        <v>3</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278</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0</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7</v>
      </c>
      <c r="F13" s="1011">
        <f t="shared" si="3"/>
        <v>91</v>
      </c>
      <c r="G13" s="1012">
        <f t="shared" si="3"/>
        <v>91</v>
      </c>
      <c r="H13" s="1011">
        <f t="shared" si="3"/>
        <v>0</v>
      </c>
      <c r="I13" s="1013">
        <f t="shared" si="3"/>
        <v>0</v>
      </c>
      <c r="J13" s="1013">
        <f t="shared" si="3"/>
        <v>0</v>
      </c>
      <c r="K13" s="1013">
        <f t="shared" si="3"/>
        <v>0</v>
      </c>
      <c r="L13" s="1013">
        <f t="shared" si="3"/>
        <v>541</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22</v>
      </c>
      <c r="X13" s="1013">
        <f t="shared" si="4"/>
        <v>508</v>
      </c>
      <c r="Y13" s="1014">
        <f t="shared" si="4"/>
        <v>530</v>
      </c>
      <c r="Z13" s="1014">
        <f t="shared" si="4"/>
        <v>0</v>
      </c>
      <c r="AA13" s="1014">
        <f t="shared" si="4"/>
        <v>91</v>
      </c>
      <c r="AB13" s="1014">
        <f t="shared" si="4"/>
        <v>8456</v>
      </c>
      <c r="AC13" s="1014">
        <f t="shared" si="4"/>
        <v>161</v>
      </c>
      <c r="AD13" s="1014">
        <f t="shared" si="4"/>
        <v>0</v>
      </c>
      <c r="AE13" s="1018">
        <f t="shared" si="4"/>
        <v>0</v>
      </c>
      <c r="AF13" s="1011">
        <f t="shared" si="4"/>
        <v>0</v>
      </c>
      <c r="AG13" s="1019">
        <f t="shared" si="4"/>
        <v>0</v>
      </c>
      <c r="AH13" s="1016">
        <f t="shared" si="4"/>
        <v>0</v>
      </c>
      <c r="AI13" s="1011">
        <f t="shared" si="4"/>
        <v>348</v>
      </c>
      <c r="AJ13" s="1013">
        <f t="shared" si="4"/>
        <v>0</v>
      </c>
      <c r="AK13" s="1016">
        <f>SUBTOTAL(9,AK9:AK12)</f>
        <v>0</v>
      </c>
      <c r="AL13" s="1020">
        <f>IF(ISNUMBER(NºAsuntos!G13/NºAsuntos!E13),NºAsuntos!G13/NºAsuntos!E13," - ")</f>
        <v>0.93622559652928417</v>
      </c>
      <c r="AM13" s="1020">
        <f>IF(ISNUMBER(((NºAsuntos!I13/NºAsuntos!G13)*11)/factor_trimestre),((NºAsuntos!I13/NºAsuntos!G13)*11)/factor_trimestre," - ")</f>
        <v>4.4439295644114924</v>
      </c>
      <c r="AN13" s="1021">
        <f>IF(ISNUMBER('Resol  Asuntos'!D13/NºAsuntos!G13),'Resol  Asuntos'!D13/NºAsuntos!G13," - ")</f>
        <v>0.16126042632066728</v>
      </c>
      <c r="AO13" s="1022">
        <f>IF(ISNUMBER((NºAsuntos!C13+NºAsuntos!E13)/NºAsuntos!G13),(NºAsuntos!C13+NºAsuntos!E13)/NºAsuntos!G13," - ")</f>
        <v>3.2219647822057462</v>
      </c>
      <c r="AP13" s="1023" t="str">
        <f t="shared" si="2"/>
        <v xml:space="preserve"> - </v>
      </c>
      <c r="AQ13" s="1023">
        <f>IF(ISNUMBER((H13-W13+K13)/(F13)),(H13-W13+K13)/(F13)," - ")</f>
        <v>-0.24175824175824176</v>
      </c>
      <c r="AR13" s="1024">
        <f>IF(ISNUMBER((Datos!P13-Datos!Q13)/(Datos!R13-Datos!P13+Datos!Q13)),(Datos!P13-Datos!Q13)/(Datos!R13-Datos!P13+Datos!Q13)," - ")</f>
        <v>3.917843998575329E-3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3</v>
      </c>
      <c r="B15" s="279" t="s">
        <v>400</v>
      </c>
      <c r="C15" s="164" t="str">
        <f>Datos!A15</f>
        <v xml:space="preserve">Jdos. Instrucción                               </v>
      </c>
      <c r="D15" s="164"/>
      <c r="E15" s="1201">
        <f>IF(ISNUMBER(Datos!AQ15),Datos!AQ15," - ")</f>
        <v>3</v>
      </c>
      <c r="F15" s="229">
        <f>IF(ISNUMBER(AA15+W15-Datos!J15-K15),AA15+W15-Datos!J15-K15," - ")</f>
        <v>1651</v>
      </c>
      <c r="G15" s="342">
        <f>IF(ISNUMBER(IF(D_I="SI",Datos!I15,Datos!I15+Datos!AC15)),IF(D_I="SI",Datos!I15,Datos!I15+Datos!AC15)," - ")</f>
        <v>1621</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80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1849</v>
      </c>
      <c r="X15" s="230">
        <f>IF(ISNUMBER(Datos!Q15),Datos!Q15," - ")</f>
        <v>88</v>
      </c>
      <c r="Y15" s="343">
        <f>SUM(W15)</f>
        <v>1849</v>
      </c>
      <c r="Z15" s="344" t="str">
        <f>IF(ISNUMBER(Datos!CC15),Datos!CC15," - ")</f>
        <v xml:space="preserve"> - </v>
      </c>
      <c r="AA15" s="341">
        <f>IF(ISNUMBER(IF(D_I="SI",Datos!L15,Datos!L15+Datos!AF15)),IF(D_I="SI",Datos!L15,Datos!L15+Datos!AF15)," - ")</f>
        <v>1931</v>
      </c>
      <c r="AB15" s="343">
        <f>IF(ISNUMBER(Datos!R15),Datos!R15," - ")</f>
        <v>339</v>
      </c>
      <c r="AC15" s="343">
        <f t="shared" ref="AC15:AC17" si="6">IF(ISNUMBER(AA15+AB15),AA15+AB15," - ")</f>
        <v>2270</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317</v>
      </c>
      <c r="AJ15" s="235" t="str">
        <f>IF(ISNUMBER(Datos!BW15),Datos!BW15," - ")</f>
        <v xml:space="preserve"> - </v>
      </c>
      <c r="AK15" s="236" t="str">
        <f>IF(ISNUMBER(Datos!BX15),Datos!BX15," - ")</f>
        <v xml:space="preserve"> - </v>
      </c>
      <c r="AL15" s="247">
        <f>IF(ISNUMBER(NºAsuntos!G15/NºAsuntos!E15),NºAsuntos!G15/NºAsuntos!E15," - ")</f>
        <v>0.8684828558008455</v>
      </c>
      <c r="AM15" s="264">
        <f>IF(ISNUMBER(((NºAsuntos!I15/NºAsuntos!G15)*11)/factor_trimestre),((NºAsuntos!I15/NºAsuntos!G15)*11)/factor_trimestre," - ")</f>
        <v>2.0886965927528394</v>
      </c>
      <c r="AN15" s="248">
        <f>IF(ISNUMBER('Resol  Asuntos'!D15/NºAsuntos!G15),'Resol  Asuntos'!D15/NºAsuntos!G15," - ")</f>
        <v>0.17144402379664683</v>
      </c>
      <c r="AO15" s="249">
        <f>IF(ISNUMBER((NºAsuntos!C15+NºAsuntos!E15)/NºAsuntos!G15),(NºAsuntos!C15+NºAsuntos!E15)/NºAsuntos!G15," - ")</f>
        <v>2.0281233098972415</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t="str">
        <f>IF(ISNUMBER(AA16+W16-Datos!J16-K16),AA16+W16-Datos!J16-K16," - ")</f>
        <v xml:space="preserve"> - </v>
      </c>
      <c r="G16" s="342" t="str">
        <f>IF(ISNUMBER(IF(D_I="SI",Datos!I16,Datos!I16+Datos!AC16)),IF(D_I="SI",Datos!I16,Datos!I16+Datos!AC16)," - ")</f>
        <v xml:space="preserve"> - </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t="str">
        <f>IF(ISNUMBER(IF(D_I="SI",Datos!K16,Datos!K16+Datos!AE16)),IF(D_I="SI",Datos!K16,Datos!K16+Datos!AE16)," - ")</f>
        <v xml:space="preserve"> - </v>
      </c>
      <c r="X16" s="230" t="str">
        <f>IF(ISNUMBER(Datos!Q16),Datos!Q16," - ")</f>
        <v xml:space="preserve"> - </v>
      </c>
      <c r="Y16" s="343">
        <f t="shared" ref="Y16:Y17" si="7">SUM(W16:X16)</f>
        <v>0</v>
      </c>
      <c r="Z16" s="344" t="str">
        <f>IF(ISNUMBER(Datos!CC16),Datos!CC16," - ")</f>
        <v xml:space="preserve"> - </v>
      </c>
      <c r="AA16" s="341" t="str">
        <f>IF(ISNUMBER(IF(D_I="SI",Datos!L16,Datos!L16+Datos!AF16)),IF(D_I="SI",Datos!L16,Datos!L16+Datos!AF16)," - ")</f>
        <v xml:space="preserve"> - </v>
      </c>
      <c r="AB16" s="343" t="str">
        <f>IF(ISNUMBER(Datos!R16),Datos!R16," - ")</f>
        <v xml:space="preserve"> - </v>
      </c>
      <c r="AC16" s="343" t="str">
        <f t="shared" si="6"/>
        <v xml:space="preserve"> - </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t="str">
        <f>IF(ISNUMBER(Datos!M16),Datos!M16," - ")</f>
        <v xml:space="preserve"> - </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1</v>
      </c>
      <c r="F17" s="229" t="str">
        <f>IF(ISNUMBER(AA17+W17-H17-K17),AA17+W17-H17-K17," - ")</f>
        <v xml:space="preserve"> - </v>
      </c>
      <c r="G17" s="342">
        <f>IF(ISNUMBER(IF(D_I="SI",Datos!I17,Datos!I17+Datos!AC17)),IF(D_I="SI",Datos!I17,Datos!I17+Datos!AC17)," - ")</f>
        <v>100</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14</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248</v>
      </c>
      <c r="X17" s="230">
        <f>IF(ISNUMBER(Datos!Q17),Datos!Q17," - ")</f>
        <v>18</v>
      </c>
      <c r="Y17" s="343">
        <f t="shared" si="7"/>
        <v>266</v>
      </c>
      <c r="Z17" s="344" t="str">
        <f>IF(ISNUMBER(Datos!CC17),Datos!CC17," - ")</f>
        <v xml:space="preserve"> - </v>
      </c>
      <c r="AA17" s="341">
        <f>IF(ISNUMBER(Datos!L17),Datos!L17,"-")</f>
        <v>105</v>
      </c>
      <c r="AB17" s="343">
        <f>IF(ISNUMBER(Datos!R17),Datos!R17," - ")</f>
        <v>22</v>
      </c>
      <c r="AC17" s="343">
        <f t="shared" si="6"/>
        <v>127</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60</v>
      </c>
      <c r="AJ17" s="235" t="str">
        <f>IF(ISNUMBER(Datos!BW17),Datos!BW17," - ")</f>
        <v xml:space="preserve"> - </v>
      </c>
      <c r="AK17" s="236" t="str">
        <f>IF(ISNUMBER(Datos!BX17),Datos!BX17," - ")</f>
        <v xml:space="preserve"> - </v>
      </c>
      <c r="AL17" s="247">
        <f>IF(ISNUMBER(NºAsuntos!G17/NºAsuntos!E17),NºAsuntos!G17/NºAsuntos!E17," - ")</f>
        <v>0.98023715415019763</v>
      </c>
      <c r="AM17" s="264">
        <f>IF(ISNUMBER(((NºAsuntos!I17/NºAsuntos!G17)*11)/factor_trimestre),((NºAsuntos!I17/NºAsuntos!G17)*11)/factor_trimestre," - ")</f>
        <v>0.84677419354838712</v>
      </c>
      <c r="AN17" s="248">
        <f>IF(ISNUMBER('Resol  Asuntos'!D17/NºAsuntos!G17),'Resol  Asuntos'!D17/NºAsuntos!G17," - ")</f>
        <v>0.24193548387096775</v>
      </c>
      <c r="AO17" s="249">
        <f>IF(ISNUMBER((NºAsuntos!C17+NºAsuntos!E17)/NºAsuntos!G17),(NºAsuntos!C17+NºAsuntos!E17)/NºAsuntos!G17," - ")</f>
        <v>1.4233870967741935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4</v>
      </c>
      <c r="F18" s="1011">
        <f>SUBTOTAL(9,F14:F17)</f>
        <v>1651</v>
      </c>
      <c r="G18" s="1012">
        <f>SUBTOTAL(9,G15:G17)</f>
        <v>1721</v>
      </c>
      <c r="H18" s="1011">
        <f t="shared" ref="H18:O18" si="10">SUBTOTAL(9,H14:H17)</f>
        <v>0</v>
      </c>
      <c r="I18" s="1013">
        <f t="shared" si="10"/>
        <v>0</v>
      </c>
      <c r="J18" s="1013">
        <f t="shared" si="10"/>
        <v>0</v>
      </c>
      <c r="K18" s="1013">
        <f t="shared" si="10"/>
        <v>0</v>
      </c>
      <c r="L18" s="1013">
        <f t="shared" si="10"/>
        <v>94</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2097</v>
      </c>
      <c r="X18" s="1013">
        <f t="shared" si="11"/>
        <v>106</v>
      </c>
      <c r="Y18" s="1014">
        <f t="shared" si="11"/>
        <v>2115</v>
      </c>
      <c r="Z18" s="1014">
        <f t="shared" si="11"/>
        <v>0</v>
      </c>
      <c r="AA18" s="1014">
        <f t="shared" si="11"/>
        <v>2036</v>
      </c>
      <c r="AB18" s="1014">
        <f t="shared" si="11"/>
        <v>361</v>
      </c>
      <c r="AC18" s="1014">
        <f t="shared" si="11"/>
        <v>2397</v>
      </c>
      <c r="AD18" s="1014">
        <f t="shared" si="11"/>
        <v>0</v>
      </c>
      <c r="AE18" s="1018">
        <f t="shared" si="11"/>
        <v>0</v>
      </c>
      <c r="AF18" s="1011">
        <f t="shared" si="11"/>
        <v>0</v>
      </c>
      <c r="AG18" s="1019">
        <f t="shared" si="11"/>
        <v>0</v>
      </c>
      <c r="AH18" s="1016">
        <f t="shared" si="11"/>
        <v>0</v>
      </c>
      <c r="AI18" s="1011">
        <f t="shared" si="11"/>
        <v>377</v>
      </c>
      <c r="AJ18" s="1013">
        <f t="shared" si="11"/>
        <v>0</v>
      </c>
      <c r="AK18" s="1016">
        <f t="shared" si="11"/>
        <v>0</v>
      </c>
      <c r="AL18" s="1020">
        <f>IF(ISNUMBER(NºAsuntos!G18/NºAsuntos!E18),NºAsuntos!G18/NºAsuntos!E18," - ")</f>
        <v>0.88035264483627207</v>
      </c>
      <c r="AM18" s="1020">
        <f>IF(ISNUMBER(((NºAsuntos!I18/NºAsuntos!G18)*11)/factor_trimestre),((NºAsuntos!I18/NºAsuntos!G18)*11)/factor_trimestre," - ")</f>
        <v>1.9418216499761565</v>
      </c>
      <c r="AN18" s="1021">
        <f>IF(ISNUMBER('Resol  Asuntos'!D18/NºAsuntos!G18),'Resol  Asuntos'!D18/NºAsuntos!G18," - ")</f>
        <v>0.17978063900810681</v>
      </c>
      <c r="AO18" s="1022">
        <f>IF(ISNUMBER((NºAsuntos!C18+NºAsuntos!E18)/NºAsuntos!G18),(NºAsuntos!C18+NºAsuntos!E18)/NºAsuntos!G18," - ")</f>
        <v>1.9566046733428708</v>
      </c>
      <c r="AP18" s="1023" t="str">
        <f t="shared" si="2"/>
        <v xml:space="preserve"> - </v>
      </c>
      <c r="AQ18" s="1023">
        <f>IF(ISNUMBER((H18-W18+K18)/(F18)),(H18-W18+K18)/(F18)," - ")</f>
        <v>-1.2701393095093882</v>
      </c>
      <c r="AR18" s="1024">
        <f>IF(ISNUMBER((Datos!P18-Datos!Q18)/(Datos!R18-Datos!P18+Datos!Q18)),(Datos!P18-Datos!Q18)/(Datos!R18-Datos!P18+Datos!Q18)," - ")</f>
        <v>-3.2171581769436998E-2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11</v>
      </c>
      <c r="F19" s="966">
        <f t="shared" si="13"/>
        <v>1742</v>
      </c>
      <c r="G19" s="967">
        <f t="shared" si="13"/>
        <v>1812</v>
      </c>
      <c r="H19" s="966">
        <f t="shared" si="13"/>
        <v>0</v>
      </c>
      <c r="I19" s="968">
        <f t="shared" si="13"/>
        <v>0</v>
      </c>
      <c r="J19" s="968">
        <f t="shared" si="13"/>
        <v>0</v>
      </c>
      <c r="K19" s="1027">
        <f t="shared" si="13"/>
        <v>0</v>
      </c>
      <c r="L19" s="968">
        <f t="shared" si="13"/>
        <v>635</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2119</v>
      </c>
      <c r="X19" s="967">
        <f t="shared" si="14"/>
        <v>614</v>
      </c>
      <c r="Y19" s="974">
        <f t="shared" si="14"/>
        <v>2645</v>
      </c>
      <c r="Z19" s="974">
        <f t="shared" si="14"/>
        <v>0</v>
      </c>
      <c r="AA19" s="974">
        <f t="shared" si="14"/>
        <v>2127</v>
      </c>
      <c r="AB19" s="974">
        <f t="shared" si="14"/>
        <v>8817</v>
      </c>
      <c r="AC19" s="974">
        <f t="shared" si="14"/>
        <v>2558</v>
      </c>
      <c r="AD19" s="974">
        <f t="shared" si="14"/>
        <v>0</v>
      </c>
      <c r="AE19" s="976">
        <f t="shared" si="14"/>
        <v>0</v>
      </c>
      <c r="AF19" s="977">
        <f t="shared" si="14"/>
        <v>0</v>
      </c>
      <c r="AG19" s="978">
        <f t="shared" si="14"/>
        <v>0</v>
      </c>
      <c r="AH19" s="976">
        <f t="shared" si="14"/>
        <v>0</v>
      </c>
      <c r="AI19" s="966">
        <f t="shared" si="14"/>
        <v>725</v>
      </c>
      <c r="AJ19" s="966">
        <f t="shared" si="14"/>
        <v>0</v>
      </c>
      <c r="AK19" s="976">
        <f t="shared" si="14"/>
        <v>0</v>
      </c>
      <c r="AL19" s="1030">
        <f>IF(ISNUMBER(NºAsuntos!G19/NºAsuntos!E19),NºAsuntos!G19/NºAsuntos!E19," - ")</f>
        <v>0.90783016855131216</v>
      </c>
      <c r="AM19" s="1031">
        <f>IF(ISNUMBER(((NºAsuntos!I19/NºAsuntos!G19)*11)/factor_trimestre),((NºAsuntos!I19/NºAsuntos!G19)*11)/factor_trimestre," - ")</f>
        <v>3.2108108108108109</v>
      </c>
      <c r="AN19" s="1031">
        <f>IF(ISNUMBER('Resol  Asuntos'!D19/NºAsuntos!G19),'Resol  Asuntos'!D19/NºAsuntos!G19," - ")</f>
        <v>0.17038777908343125</v>
      </c>
      <c r="AO19" s="1032">
        <f>IF(ISNUMBER((NºAsuntos!C19+NºAsuntos!E19)/NºAsuntos!G19),(NºAsuntos!C19+NºAsuntos!E19)/NºAsuntos!G19," - ")</f>
        <v>2.5983548766157463</v>
      </c>
      <c r="AP19" s="1033" t="str">
        <f t="shared" si="2"/>
        <v xml:space="preserve"> - </v>
      </c>
      <c r="AQ19" s="1034">
        <f>IF(OR(ISNUMBER(FIND("01",Criterios!A8,1)),ISNUMBER(FIND("02",Criterios!A8,1)),ISNUMBER(FIND("03",Criterios!A8,1)),ISNUMBER(FIND("04",Criterios!A8,1))),(I19-W19+K19)/(F19-K19),(H19-W19+K19)/(F19-K19))</f>
        <v>-1.2164179104477613</v>
      </c>
      <c r="AR19" s="1035">
        <f>IF(ISNUMBER((Datos!P19-Datos!Q19)/(Datos!R19-Datos!P19+Datos!Q19)),(Datos!P19-Datos!Q19)/(Datos!R19-Datos!P19+Datos!Q19)," - ")</f>
        <v>2.3874488403819918E-3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724.8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2.6977356760397742</v>
      </c>
      <c r="F21" s="256">
        <f>IF(ISNUMBER(STDEV(F8:F18)),STDEV(F8:F18),"-")</f>
        <v>900.66641993581618</v>
      </c>
      <c r="G21" s="257">
        <f>IF(ISNUMBER(STDEV(G8:G18)),STDEV(G8:G18),"-")</f>
        <v>864.48956037652647</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1035.1996425810821</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173.51986300462221</v>
      </c>
      <c r="AJ21" s="256">
        <f t="shared" si="18"/>
        <v>0</v>
      </c>
      <c r="AK21" s="258">
        <f t="shared" si="18"/>
        <v>0</v>
      </c>
      <c r="AL21" s="253">
        <f t="shared" si="18"/>
        <v>5.2288365753203329E-2</v>
      </c>
      <c r="AM21" s="254">
        <f t="shared" si="18"/>
        <v>2.6751147526219761</v>
      </c>
      <c r="AN21" s="254">
        <f t="shared" si="18"/>
        <v>0.13323858332257707</v>
      </c>
      <c r="AO21" s="255">
        <f t="shared" si="18"/>
        <v>1.3413337951735631</v>
      </c>
      <c r="AP21" s="295" t="str">
        <f t="shared" si="18"/>
        <v>-</v>
      </c>
      <c r="AQ21" s="296">
        <f t="shared" si="18"/>
        <v>0.72717522665069811</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9Ml3/c14wnPexs6vHg1OsScAyiTnp7fSmbGdS8nk+YgRX41BeDrT1AN0w5Z0203oJENk29BH2YIDaPv0K8m4Q==" saltValue="IW13+KOMvOYb4PGd3WYll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COMUNIDAD VALENCIANA</v>
      </c>
      <c r="E2" s="267"/>
    </row>
    <row r="3" spans="2:20" ht="17.25" customHeight="1">
      <c r="C3" s="271"/>
      <c r="D3" s="266" t="str">
        <f>Criterios!A10 &amp;"  "&amp;Criterios!B10</f>
        <v>Provincias  VALENCIA</v>
      </c>
      <c r="E3" s="267"/>
    </row>
    <row r="4" spans="2:20" ht="17.25" customHeight="1" thickBot="1">
      <c r="D4" s="266" t="str">
        <f>Criterios!A11 &amp;"  "&amp;Criterios!B11</f>
        <v>Resumenes por Partidos Judiciales  GANDIA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0.11960132890365449</v>
      </c>
      <c r="I9" s="359">
        <f>IF(ISNUMBER((Tasas!C9-Datos!BE9)/Datos!BE9),(Tasas!C9-Datos!BE9)/Datos!BE9," - ")</f>
        <v>-0.1504122224398583</v>
      </c>
      <c r="J9" s="358">
        <f>IF(ISNUMBER((Tasas!D9-Datos!BF9)/Datos!BF9),(Tasas!D9-Datos!BF9)/Datos!BF9," - ")</f>
        <v>-0.57861646296361524</v>
      </c>
      <c r="K9" s="360">
        <f>IF(ISNUMBER((Tasas!E9-Datos!BG9)/Datos!BG9),(Tasas!E9-Datos!BG9)/Datos!BG9," - ")</f>
        <v>-0.11619222327775415</v>
      </c>
      <c r="M9" t="e">
        <f>IF(Monitorios="SI",Datos!CE9,0)</f>
        <v>#REF!</v>
      </c>
      <c r="N9" t="e">
        <f>IF(Monitorios="SI",Datos!CF9,0)</f>
        <v>#REF!</v>
      </c>
      <c r="O9" t="e">
        <f>IF(Monitorios="SI",Datos!CG9,0)</f>
        <v>#REF!</v>
      </c>
      <c r="P9" t="e">
        <f>IF(Monitorios="SI",Datos!CH9,0)</f>
        <v>#REF!</v>
      </c>
      <c r="Q9">
        <f>IF(J_V="SI",0,Datos!AG9)</f>
        <v>226</v>
      </c>
      <c r="R9">
        <f>IF(J_V="SI",0,Datos!AH9)</f>
        <v>194</v>
      </c>
      <c r="S9">
        <f>IF(J_V="SI",0,Datos!AI9)</f>
        <v>180</v>
      </c>
      <c r="T9">
        <f>IF(J_V="SI",0,Datos!AJ9)</f>
        <v>240</v>
      </c>
    </row>
    <row r="10" spans="2:20" ht="14.25">
      <c r="B10" s="279" t="s">
        <v>249</v>
      </c>
      <c r="C10" s="7" t="str">
        <f>Datos!A10</f>
        <v>Jdos. Violencia contra la mujer</v>
      </c>
      <c r="D10" s="361">
        <f>IF(ISNUMBER((Datos!I10-Datos!S10)/Datos!S10),(Datos!I10-Datos!S10)/Datos!S10," - ")</f>
        <v>0.97826086956521741</v>
      </c>
      <c r="E10" s="357">
        <f>IF(ISNUMBER((Datos!J10-Datos!T10)/Datos!T10),(Datos!J10-Datos!T10)/Datos!T10," - ")</f>
        <v>-8.3333333333333329E-2</v>
      </c>
      <c r="F10" s="357">
        <f>IF(ISNUMBER((Datos!K10-Datos!U10)/Datos!U10),(Datos!K10-Datos!U10)/Datos!U10," - ")</f>
        <v>0.375</v>
      </c>
      <c r="G10" s="358">
        <f>IF(ISNUMBER((Datos!L10-Datos!V10)/Datos!V10),(Datos!L10-Datos!V10)/Datos!V10," - ")</f>
        <v>0.68518518518518523</v>
      </c>
      <c r="H10" s="234">
        <f>IF(ISNUMBER((Datos!M10-Datos!W10)/Datos!W10),(Datos!M10-Datos!W10)/Datos!W10," - ")</f>
        <v>0.83333333333333337</v>
      </c>
      <c r="I10" s="359">
        <f>IF(ISNUMBER((Tasas!C10-Datos!BE10)/Datos!BE10),(Tasas!C10-Datos!BE10)/Datos!BE10," - ")</f>
        <v>0.22558922558922567</v>
      </c>
      <c r="J10" s="358">
        <f>IF(ISNUMBER((Tasas!D10-Datos!BF10)/Datos!BF10),(Tasas!D10-Datos!BF10)/Datos!BF10," - ")</f>
        <v>0.33333333333333331</v>
      </c>
      <c r="K10" s="360">
        <f>IF(ISNUMBER((Tasas!E10-Datos!BG10)/Datos!BG10),(Tasas!E10-Datos!BG10)/Datos!BG10," - ")</f>
        <v>0.17402597402597411</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0.13355048859934854</v>
      </c>
      <c r="I13" s="366">
        <f>IF(ISNUMBER((Tasas!C13-Datos!BE13)/Datos!BE13),(Tasas!C13-Datos!BE13)/Datos!BE13," - ")</f>
        <v>-0.14490129915561514</v>
      </c>
      <c r="J13" s="364">
        <f>IF(ISNUMBER((Tasas!D13-Datos!BF13)/Datos!BF13),(Tasas!D13-Datos!BF13)/Datos!BF13," - ")</f>
        <v>-0.56905404705299945</v>
      </c>
      <c r="K13" s="367">
        <f>IF(ISNUMBER((Tasas!E13-Datos!BG13)/Datos!BG13),(Tasas!E13-Datos!BG13)/Datos!BG13," - ")</f>
        <v>-0.11223160579953746</v>
      </c>
      <c r="M13" t="e">
        <f>IF(Monitorios="SI",Datos!CE13,0)</f>
        <v>#REF!</v>
      </c>
      <c r="N13" t="e">
        <f>IF(Monitorios="SI",Datos!CF13,0)</f>
        <v>#REF!</v>
      </c>
      <c r="O13" t="e">
        <f>IF(Monitorios="SI",Datos!CG13,0)</f>
        <v>#REF!</v>
      </c>
      <c r="P13" t="e">
        <f>IF(Monitorios="SI",Datos!CH13,0)</f>
        <v>#REF!</v>
      </c>
      <c r="Q13">
        <f>IF(J_V="SI",0,Datos!AG13)</f>
        <v>226</v>
      </c>
      <c r="R13">
        <f>IF(J_V="SI",0,Datos!AH13)</f>
        <v>194</v>
      </c>
      <c r="S13">
        <f>IF(J_V="SI",0,Datos!AI13)</f>
        <v>180</v>
      </c>
      <c r="T13">
        <f>IF(J_V="SI",0,Datos!AJ13)</f>
        <v>240</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0.41202090592334495</v>
      </c>
      <c r="E15" s="357">
        <f>IF(ISNUMBER(
   IF(D_I="SI",(Datos!J15-Datos!T15)/Datos!T15,(Datos!J15+Datos!AD15-(Datos!T15+Datos!AL15))/(Datos!T15+Datos!AL15))
     ),IF(D_I="SI",(Datos!J15-Datos!T15)/Datos!T15,(Datos!J15+Datos!AD15-(Datos!T15+Datos!AL15))/(Datos!T15+Datos!AL15))," - ")</f>
        <v>2.750965250965251E-2</v>
      </c>
      <c r="F15" s="357">
        <f>IF(ISNUMBER(
   IF(D_I="SI",(Datos!K15-Datos!U15)/Datos!U15,(Datos!K15+Datos!AE15-(Datos!U15+Datos!AM15))/(Datos!U15+Datos!AM15))
     ),IF(D_I="SI",(Datos!K15-Datos!U15)/Datos!U15,(Datos!K15+Datos!AE15-(Datos!U15+Datos!AM15))/(Datos!U15+Datos!AM15))," - ")</f>
        <v>-6.9817400644468317E-3</v>
      </c>
      <c r="G15" s="358">
        <f>IF(ISNUMBER(
   IF(D_I="SI",(Datos!L15-Datos!V15)/Datos!V15,(Datos!L15+Datos!AF15-(Datos!V15+Datos!AN15))/(Datos!V15+Datos!AN15))
     ),IF(D_I="SI",(Datos!L15-Datos!V15)/Datos!V15,(Datos!L15+Datos!AF15-(Datos!V15+Datos!AN15))/(Datos!V15+Datos!AN15))," - ")</f>
        <v>0.36756373937677056</v>
      </c>
      <c r="H15" s="234">
        <f>IF(ISNUMBER((Datos!M15-Datos!W15)/Datos!W15),(Datos!M15-Datos!W15)/Datos!W15," - ")</f>
        <v>0.1444043321299639</v>
      </c>
      <c r="I15" s="359">
        <f>IF(ISNUMBER((Tasas!C15-Datos!BE15)/Datos!BE15),(Tasas!C15-Datos!BE15)/Datos!BE15," - ")</f>
        <v>0.37717884408845137</v>
      </c>
      <c r="J15" s="358">
        <f>IF(ISNUMBER((Tasas!D15-Datos!BF15)/Datos!BF15),(Tasas!D15-Datos!BF15)/Datos!BF15," - ")</f>
        <v>0.15245044155002316</v>
      </c>
      <c r="K15" s="360">
        <f>IF(ISNUMBER((Tasas!E15-Datos!BG15)/Datos!BG15),(Tasas!E15-Datos!BG15)/Datos!BG15," - ")</f>
        <v>0.17278434876666576</v>
      </c>
    </row>
    <row r="16" spans="2:20" ht="14.25">
      <c r="B16" s="279" t="s">
        <v>400</v>
      </c>
      <c r="C16" s="7" t="str">
        <f>Datos!A16</f>
        <v xml:space="preserve">Jdos. 1ª Instª. e Instr.                        </v>
      </c>
      <c r="D16" s="361" t="str">
        <f>IF(ISNUMBER(
   IF(D_I="SI",(Datos!I16-Datos!S16)/Datos!S16,(Datos!I16+Datos!AC16-(Datos!S16+Datos!AK16))/(Datos!S16+Datos!AK16))
     ),IF(D_I="SI",(Datos!I16-Datos!S16)/Datos!S16,(Datos!I16+Datos!AC16-(Datos!S16+Datos!AK16))/(Datos!S16+Datos!AK16))," - ")</f>
        <v xml:space="preserve"> - </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t="str">
        <f>IF(ISNUMBER(
   IF(D_I="SI",(Datos!L16-Datos!V16)/Datos!V16,(Datos!L16+Datos!AF16-(Datos!V16+Datos!AN16))/(Datos!V16+Datos!AN16))
     ),IF(D_I="SI",(Datos!L16-Datos!V16)/Datos!V16,(Datos!L16+Datos!AF16-(Datos!V16+Datos!AN16))/(Datos!V16+Datos!AN16))," - ")</f>
        <v xml:space="preserve"> - </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2.0408163265306121E-2</v>
      </c>
      <c r="E17" s="357">
        <f>IF(ISNUMBER(
   IF(D_I="SI",(Datos!J17-Datos!T17)/Datos!T17,(Datos!J17+Datos!AD17-(Datos!T17+Datos!AL17))/(Datos!T17+Datos!AL17))
     ),IF(D_I="SI",(Datos!J17-Datos!T17)/Datos!T17,(Datos!J17+Datos!AD17-(Datos!T17+Datos!AL17))/(Datos!T17+Datos!AL17))," - ")</f>
        <v>0.11946902654867257</v>
      </c>
      <c r="F17" s="357">
        <f>IF(ISNUMBER(
   IF(D_I="SI",(Datos!K17-Datos!U17)/Datos!U17,(Datos!K17+Datos!AE17-(Datos!U17+Datos!AM17))/(Datos!U17+Datos!AM17))
     ),IF(D_I="SI",(Datos!K17-Datos!U17)/Datos!U17,(Datos!K17+Datos!AE17-(Datos!U17+Datos!AM17))/(Datos!U17+Datos!AM17))," - ")</f>
        <v>0.10222222222222223</v>
      </c>
      <c r="G17" s="358">
        <f>IF(ISNUMBER(
   IF(D_I="SI",(Datos!L17-Datos!V17)/Datos!V17,(Datos!L17+Datos!AF17-(Datos!V17+Datos!AN17))/(Datos!V17+Datos!AN17))
     ),IF(D_I="SI",(Datos!L17-Datos!V17)/Datos!V17,(Datos!L17+Datos!AF17-(Datos!V17+Datos!AN17))/(Datos!V17+Datos!AN17))," - ")</f>
        <v>6.0606060606060608E-2</v>
      </c>
      <c r="H17" s="234">
        <f>IF(ISNUMBER((Datos!M17-Datos!W17)/Datos!W17),(Datos!M17-Datos!W17)/Datos!W17," - ")</f>
        <v>-0.1891891891891892</v>
      </c>
      <c r="I17" s="359">
        <f>IF(ISNUMBER((Tasas!C17-Datos!BE17)/Datos!BE17),(Tasas!C17-Datos!BE17)/Datos!BE17," - ")</f>
        <v>-3.7756598240469182E-2</v>
      </c>
      <c r="J17" s="358">
        <f>IF(ISNUMBER((Tasas!D17-Datos!BF17)/Datos!BF17),(Tasas!D17-Datos!BF17)/Datos!BF17," - ")</f>
        <v>-0.26438535309503053</v>
      </c>
      <c r="K17" s="360">
        <f>IF(ISNUMBER((Tasas!E17-Datos!BG17)/Datos!BG17),(Tasas!E17-Datos!BG17)/Datos!BG17," - ")</f>
        <v>-1.1536738351254473E-2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0.3812199036918138</v>
      </c>
      <c r="E18" s="363">
        <f>IF(ISNUMBER(
   IF(D_I="SI",(Datos!J18-Datos!T18)/Datos!T18,(Datos!J18+Datos!AD18-(Datos!T18+Datos!AL18))/(Datos!T18+Datos!AL18))
     ),IF(D_I="SI",(Datos!J18-Datos!T18)/Datos!T18,(Datos!J18+Datos!AD18-(Datos!T18+Datos!AL18))/(Datos!T18+Datos!AL18))," - ")</f>
        <v>3.6553524804177548E-2</v>
      </c>
      <c r="F18" s="363">
        <f>IF(ISNUMBER(
   IF(D_I="SI",(Datos!K18-Datos!U18)/Datos!U18,(Datos!K18+Datos!AE18-(Datos!U18+Datos!AM18))/(Datos!U18+Datos!AM18))
     ),IF(D_I="SI",(Datos!K18-Datos!U18)/Datos!U18,(Datos!K18+Datos!AE18-(Datos!U18+Datos!AM18))/(Datos!U18+Datos!AM18))," - ")</f>
        <v>4.7915668423574509E-3</v>
      </c>
      <c r="G18" s="364">
        <f>IF(ISNUMBER(
   IF(D_I="SI",(Datos!L18-Datos!V18)/Datos!V18,(Datos!L18+Datos!AF18-(Datos!V18+Datos!AN18))/(Datos!V18+Datos!AN18))
     ),IF(D_I="SI",(Datos!L18-Datos!V18)/Datos!V18,(Datos!L18+Datos!AF18-(Datos!V18+Datos!AN18))/(Datos!V18+Datos!AN18))," - ")</f>
        <v>0.34745201853077434</v>
      </c>
      <c r="H18" s="365">
        <f>IF(ISNUMBER((Datos!M18-Datos!W18)/Datos!W18),(Datos!M18-Datos!W18)/Datos!W18," - ")</f>
        <v>7.407407407407407E-2</v>
      </c>
      <c r="I18" s="366">
        <f>IF(ISNUMBER((Tasas!C18-Datos!BE18)/Datos!BE18),(Tasas!C18-Datos!BE18)/Datos!BE18," - ")</f>
        <v>0.34102640089352698</v>
      </c>
      <c r="J18" s="364">
        <f>IF(ISNUMBER((Tasas!D18-Datos!BF18)/Datos!BF18),(Tasas!D18-Datos!BF18)/Datos!BF18," - ")</f>
        <v>6.8952118546777491E-2</v>
      </c>
      <c r="K18" s="367">
        <f>IF(ISNUMBER((Tasas!E18-Datos!BG18)/Datos!BG18),(Tasas!E18-Datos!BG18)/Datos!BG18," - ")</f>
        <v>0.15221048342736213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0.16562957540263543</v>
      </c>
      <c r="E19" s="372">
        <f>IF(ISNUMBER(
   IF(J_V="SI",(Datos!J19-Datos!T19)/Datos!T19,(Datos!J19+Datos!Z19-(Datos!T19+Datos!AH19))/(Datos!T19+Datos!AH19))
     ),IF(J_V="SI",(Datos!J19-Datos!T19)/Datos!T19,(Datos!J19+Datos!Z19-(Datos!T19+Datos!AH19))/(Datos!T19+Datos!AH19))," - ")</f>
        <v>8.3448913546000925E-2</v>
      </c>
      <c r="F19" s="372">
        <f>IF(ISNUMBER(
   IF(J_V="SI",(Datos!K19-Datos!U19)/Datos!U19,(Datos!K19+Datos!AA19-(Datos!U19+Datos!AI19))/(Datos!U19+Datos!AI19))
     ),IF(J_V="SI",(Datos!K19-Datos!U19)/Datos!U19,(Datos!K19+Datos!AA19-(Datos!U19+Datos!AI19))/(Datos!U19+Datos!AI19))," - ")</f>
        <v>0.1173844537815126</v>
      </c>
      <c r="G19" s="373">
        <f>IF(ISNUMBER(
   IF(J_V="SI",(Datos!L19-Datos!V19)/Datos!V19,(Datos!L19+Datos!AB19-(Datos!V19+Datos!AJ19))/(Datos!V19+Datos!AJ19))
     ),IF(J_V="SI",(Datos!L19-Datos!V19)/Datos!V19,(Datos!L19+Datos!AB19-(Datos!V19+Datos!AJ19))/(Datos!V19+Datos!AJ19))," - ")</f>
        <v>0.14173491559418352</v>
      </c>
      <c r="H19" s="374">
        <f>IF(ISNUMBER((Datos!M19-Datos!W19)/Datos!W19),(Datos!M19-Datos!W19)/Datos!W19," - ")</f>
        <v>0.10182370820668693</v>
      </c>
      <c r="I19" s="371">
        <f>IF(ISNUMBER((Tasas!C19-Datos!BE19)/Datos!BE19),(Tasas!C19-Datos!BE19)/Datos!BE19," - ")</f>
        <v>2.179237569510005E-2</v>
      </c>
      <c r="J19" s="372">
        <f>IF(ISNUMBER((Tasas!D19-Datos!BF19)/Datos!BF19),(Tasas!D19-Datos!BF19)/Datos!BF19," - ")</f>
        <v>-0.34790285150783301</v>
      </c>
      <c r="K19" s="373">
        <f>IF(ISNUMBER((Tasas!E19-Datos!BG19)/Datos!BG19),(Tasas!E19-Datos!BG19)/Datos!BG19," - ")</f>
        <v>1.067777018925045E-2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0.39571262429344717</v>
      </c>
      <c r="E21" s="282">
        <f t="shared" si="1"/>
        <v>8.3267201409904928E-2</v>
      </c>
      <c r="F21" s="282">
        <f t="shared" si="1"/>
        <v>0.17770033260976709</v>
      </c>
      <c r="G21" s="283">
        <f t="shared" si="1"/>
        <v>0.25527016064771224</v>
      </c>
      <c r="H21" s="289">
        <f t="shared" si="1"/>
        <v>0.34094712519490938</v>
      </c>
      <c r="I21" s="281">
        <f t="shared" si="1"/>
        <v>0.24179955762561398</v>
      </c>
      <c r="J21" s="282">
        <f t="shared" si="1"/>
        <v>0.386037870966218</v>
      </c>
      <c r="K21" s="283">
        <f t="shared" si="1"/>
        <v>0.14025105818840888</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tNpVNZHjiu5meI1QpE69RLBzKDEoBmKwY9boDuRMyWT0x0k2Klai7EcjJnEC7HeSetRrW1JljVM00Ea3MQl64Q==" saltValue="Gu5iVu6JIfBxgViwT/IDf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2023-11-29T08:54:21Z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